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zKLySQheeuptj9HqfiYjBn4SJbvizHQJaQEDGr6QsI/koeIT+xxM/3HCI1uQSiq9qapFUP8lU8aPa3zmiTG/Ag==" workbookSaltValue="OJMfaYmOOC3sNs/2DxtZ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BF17" i="8"/>
  <c r="AG19" i="8"/>
  <c r="ER19" i="8"/>
  <c r="AE13" i="21"/>
  <c r="EL19" i="8"/>
  <c r="BE12" i="21"/>
  <c r="EQ19" i="8"/>
  <c r="EN19" i="8"/>
  <c r="BA13" i="16"/>
  <c r="E17" i="3"/>
  <c r="ES19" i="8"/>
  <c r="G18" i="12"/>
  <c r="W19" i="8"/>
  <c r="R8" i="9"/>
  <c r="X12" i="21" s="1"/>
  <c r="EP19" i="8"/>
  <c r="EP19" i="19"/>
  <c r="BH9" i="16"/>
  <c r="BJ17" i="11"/>
  <c r="BH15" i="16"/>
  <c r="BL17" i="11"/>
  <c r="BF10" i="11"/>
  <c r="S13" i="16"/>
  <c r="P13" i="16"/>
  <c r="W13" i="20"/>
  <c r="AO12" i="11"/>
  <c r="BK15" i="11"/>
  <c r="AZ17" i="11"/>
  <c r="Q10" i="21"/>
  <c r="BJ11" i="11"/>
  <c r="BI17" i="11"/>
  <c r="BL11"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2" i="2"/>
  <c r="U9" i="17"/>
  <c r="U19" i="17" s="1"/>
  <c r="AP13" i="16"/>
  <c r="T18" i="17"/>
  <c r="BF15" i="13"/>
  <c r="BE16" i="13"/>
  <c r="BF16" i="13"/>
  <c r="Z20" i="20"/>
  <c r="H20" i="20"/>
  <c r="G18" i="14"/>
  <c r="AK20" i="20"/>
  <c r="T20" i="20"/>
  <c r="O16" i="11"/>
  <c r="F17" i="16" l="1"/>
  <c r="BL17" i="16" s="1"/>
  <c r="I19" i="8"/>
  <c r="AL19" i="8"/>
  <c r="AJ19" i="8"/>
  <c r="R19" i="8"/>
  <c r="BM18" i="16"/>
  <c r="E18" i="12"/>
  <c r="I12" i="3"/>
  <c r="F11" i="11"/>
  <c r="AQ11" i="11" s="1"/>
  <c r="H13" i="12"/>
  <c r="AY13" i="8"/>
  <c r="M18" i="2"/>
  <c r="B12" i="6"/>
  <c r="E10" i="6"/>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H17" i="11"/>
  <c r="BG9" i="11"/>
  <c r="R10" i="21"/>
  <c r="R13" i="21" s="1"/>
  <c r="V9" i="11"/>
  <c r="BI10" i="11"/>
  <c r="X9" i="17"/>
  <c r="X11" i="17"/>
  <c r="BK9" i="11"/>
  <c r="BK12" i="11"/>
  <c r="Q17" i="20"/>
  <c r="Q18" i="20" s="1"/>
  <c r="BH15" i="11"/>
  <c r="V15" i="11"/>
  <c r="AP16" i="20"/>
  <c r="BE15" i="13"/>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I20" i="20"/>
  <c r="T20" i="21"/>
  <c r="U16" i="11"/>
  <c r="AX20" i="20"/>
  <c r="Y20" i="20"/>
  <c r="O10" i="11"/>
  <c r="AM20" i="20"/>
  <c r="Q20" i="20"/>
  <c r="AB20" i="20"/>
  <c r="AI20" i="20"/>
  <c r="AZ20" i="20"/>
  <c r="AV20" i="20"/>
  <c r="AU20" i="20"/>
  <c r="M20" i="20"/>
  <c r="AQ20" i="21"/>
  <c r="AP20" i="20"/>
  <c r="AH20" i="20"/>
  <c r="N20" i="20"/>
  <c r="AD20" i="20"/>
  <c r="AE20" i="20"/>
  <c r="AG20" i="20"/>
  <c r="S20" i="20"/>
  <c r="W20" i="21"/>
  <c r="I15"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C20" i="16"/>
  <c r="AI20" i="21"/>
  <c r="AL20" i="11"/>
  <c r="I20" i="11"/>
  <c r="I20" i="16"/>
  <c r="O20" i="21"/>
  <c r="BF20" i="16"/>
  <c r="AH20" i="16"/>
  <c r="AJ20" i="11"/>
  <c r="AM20" i="16"/>
  <c r="AK20" i="16"/>
  <c r="O20" i="16"/>
  <c r="W20" i="16"/>
  <c r="S20" i="11"/>
  <c r="AM20" i="17"/>
  <c r="AX20" i="16"/>
  <c r="N20" i="17"/>
  <c r="AI20" i="16"/>
  <c r="N20" i="11"/>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K20" i="11"/>
  <c r="AR20" i="20"/>
  <c r="F20" i="12"/>
  <c r="F20" i="11"/>
  <c r="O20" i="11"/>
  <c r="BJ20" i="16"/>
  <c r="Y20" i="21"/>
  <c r="AN20" i="21"/>
  <c r="AB20" i="17"/>
  <c r="E20" i="12"/>
  <c r="AT20" i="17"/>
  <c r="E20" i="17"/>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<sst xmlns="http://schemas.openxmlformats.org/spreadsheetml/2006/main" count="2080" uniqueCount="914">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</sst>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zLaFTn+dqv/nAzfixGXTWUHs6YCTylrQdpnidoG6xbT8Yt8hnjGA3kj6pHKQun+2/Dx5uh2FmEn3VOh/v/JOg==" saltValue="7OF+YMzZbyQqzmCtg0Cc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41.031683873264505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77</v>
      </c>
      <c r="D10" s="225">
        <f>IF(ISNUMBER(Datos!I10),Datos!I10," - ")</f>
        <v>77</v>
      </c>
      <c r="E10" s="226">
        <f>IF(ISNUMBER(Datos!J10),Datos!J10," - ")</f>
        <v>21</v>
      </c>
      <c r="F10" s="226">
        <f>IF(ISNUMBER(Datos!K10),Datos!K10," - ")</f>
        <v>22</v>
      </c>
      <c r="G10" s="1034" t="str">
        <f>IF(Datos!E10&lt;&gt;"",Datos!E10,Datos!D10)</f>
        <v>37</v>
      </c>
      <c r="H10" s="227">
        <f>IF(ISNUMBER(Datos!L10),Datos!L10," - ")</f>
        <v>76</v>
      </c>
      <c r="I10" s="1044" t="str">
        <f>IF(ISNUMBER(Datos!AS10/Datos!BM10),Datos!AS10/Datos!BM10," - ")</f>
        <v xml:space="preserve"> - </v>
      </c>
      <c r="J10" s="1045">
        <f>IF(ISNUMBER(Datos!BY10/Datos!CN10),Datos!BY10/Datos!CN10," - ")</f>
        <v>0</v>
      </c>
      <c r="K10" s="230">
        <f t="shared" ref="K10:K12" si="1">IF(ISNUMBER((E10-F10)/C10),(E10-F10)/C10," - ")</f>
        <v>-1.2987012987012988E-2</v>
      </c>
      <c r="L10" s="1025">
        <f>IF(ISNUMBER(NºAsuntos!I10/NºAsuntos!G10),(NºAsuntos!I10/NºAsuntos!G10)*11," - ")</f>
        <v>38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9.1366822429906538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77</v>
      </c>
      <c r="D13" s="1049">
        <f>SUBTOTAL(9,D9:D12)</f>
        <v>77</v>
      </c>
      <c r="E13" s="1050">
        <f>SUBTOTAL(9,E9:E12)</f>
        <v>21</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4600</v>
      </c>
      <c r="D15" s="225">
        <f>IF(ISNUMBER(IF(D_I="SI",Datos!I15,Datos!I15+Datos!AC15)),IF(D_I="SI",Datos!I15,Datos!I15+Datos!AC15)," - ")</f>
        <v>4592</v>
      </c>
      <c r="E15" s="226">
        <f>IF(ISNUMBER(IF(D_I="SI",Datos!J15,Datos!J15+Datos!AD15)),IF(D_I="SI",Datos!J15,Datos!J15+Datos!AD15)," - ")</f>
        <v>4021</v>
      </c>
      <c r="F15" s="226">
        <f>IF(ISNUMBER(IF(D_I="SI",Datos!K15,Datos!K15+Datos!AE15)),IF(D_I="SI",Datos!K15,Datos!K15+Datos!AE15)," - ")</f>
        <v>4288</v>
      </c>
      <c r="G15" s="1034" t="str">
        <f>IF(Datos!E15&lt;&gt;"",Datos!E15,Datos!D15)</f>
        <v>03</v>
      </c>
      <c r="H15" s="227">
        <f>IF(ISNUMBER(IF(D_I="SI",Datos!L15,Datos!L15+Datos!AF15)),IF(D_I="SI",Datos!L15,Datos!L15+Datos!AF15)," - ")</f>
        <v>4333</v>
      </c>
      <c r="I15" s="1044" t="str">
        <f>IF(ISNUMBER(Datos!AS15/Datos!BM15),Datos!AS15/Datos!BM15," - ")</f>
        <v xml:space="preserve"> - </v>
      </c>
      <c r="J15" s="1045">
        <f>IF(ISNUMBER(Datos!BY15/Datos!CN15),Datos!BY15/Datos!CN15," - ")</f>
        <v>0</v>
      </c>
      <c r="K15" s="230">
        <f t="shared" ref="K15:K17" si="3">IF(ISNUMBER((E15-F15)/C15),(E15-F15)/C15," - ")</f>
        <v>-5.8043478260869565E-2</v>
      </c>
      <c r="L15" s="1025">
        <f>IF(ISNUMBER(NºAsuntos!I15/NºAsuntos!G15),(NºAsuntos!I15/NºAsuntos!G15)*11," - ")</f>
        <v>11.115438432835822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265</v>
      </c>
      <c r="D17" s="225">
        <f>IF(ISNUMBER(IF(D_I="SI",Datos!I17,Datos!I17+Datos!AC17)),IF(D_I="SI",Datos!I17,Datos!I17+Datos!AC17)," - ")</f>
        <v>265</v>
      </c>
      <c r="E17" s="226">
        <f>IF(ISNUMBER(IF(D_I="SI",Datos!J17,Datos!J17+Datos!AD17)),IF(D_I="SI",Datos!J17,Datos!J17+Datos!AD17)," - ")</f>
        <v>316</v>
      </c>
      <c r="F17" s="226">
        <f>IF(ISNUMBER(IF(D_I="SI",Datos!K17,Datos!K17+Datos!AE17)),IF(D_I="SI",Datos!K17,Datos!K17+Datos!AE17)," - ")</f>
        <v>329</v>
      </c>
      <c r="G17" s="1034" t="str">
        <f>IF(Datos!E17&lt;&gt;"",Datos!E17,Datos!D17)</f>
        <v>37</v>
      </c>
      <c r="H17" s="227">
        <f>IF(ISNUMBER(IF(D_I="SI",Datos!L17,Datos!L17+Datos!AF17)),IF(D_I="SI",Datos!L17,Datos!L17+Datos!AF17)," - ")</f>
        <v>252</v>
      </c>
      <c r="I17" s="1044" t="str">
        <f>IF(ISNUMBER(Datos!AS17/Datos!BM17),Datos!AS17/Datos!BM17," - ")</f>
        <v xml:space="preserve"> - </v>
      </c>
      <c r="J17" s="1045" t="str">
        <f>IF(ISNUMBER((Datos!BY17+Datos!BZ17)/Datos!CN17),(Datos!BY17+Datos!BZ17)/Datos!CN17," - ")</f>
        <v xml:space="preserve"> - </v>
      </c>
      <c r="K17" s="230">
        <f t="shared" si="3"/>
        <v>-4.9056603773584909E-2</v>
      </c>
      <c r="L17" s="1025">
        <f>IF(ISNUMBER(NºAsuntos!I17/NºAsuntos!G17),(NºAsuntos!I17/NºAsuntos!G17)*11," - ")</f>
        <v>8.4255319148936163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4865</v>
      </c>
      <c r="D18" s="1049">
        <f>SUBTOTAL(9,D15:D17)</f>
        <v>4857</v>
      </c>
      <c r="E18" s="1050">
        <f>SUBTOTAL(9,E15:E17)</f>
        <v>4337</v>
      </c>
      <c r="F18" s="1050">
        <f>SUBTOTAL(9,F15:F17)</f>
        <v>4617</v>
      </c>
      <c r="G18" s="1052" t="str">
        <f ca="1">INDIRECT(CONCATENATE("G",ROW()-1))</f>
        <v>37</v>
      </c>
      <c r="H18" s="1053">
        <f ca="1">SUMIF(G$14:G17,G18,H$14:H17)</f>
        <v>252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4942</v>
      </c>
      <c r="D19" s="1071">
        <f>SUBTOTAL(9,D9:D18)</f>
        <v>4934</v>
      </c>
      <c r="E19" s="1072">
        <f>SUBTOTAL(9,E9:E18)</f>
        <v>4358</v>
      </c>
      <c r="F19" s="1072">
        <f>SUBTOTAL(9,F9:F18)</f>
        <v>4639</v>
      </c>
      <c r="G19" s="1073"/>
      <c r="H19" s="1074">
        <f ca="1">SUMIF(B9:B18,"TOTAL",H9:H18)</f>
        <v>252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mxdFCZvB7KLMea3bP4dMlF5pjQakMsWV7evY/T5eVgVogCbChCSt7eWoMt1kSb5qny7eAwYetz0e/hjZMAGHg==" saltValue="hqqMAoxZ0wmP+n+0058o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gzEKtbDHQd01Q/ULbwRShEmKaWafCY2gSyTsGZ29Z/6SJdPX8EgnHK/rjo2PhZd+fWScmGCRMRtjZWFkDqg==" saltValue="SDXG62bcaqDWPbPJMKkf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7951</v>
      </c>
      <c r="J9" s="181">
        <v>5154</v>
      </c>
      <c r="K9" s="181">
        <v>2692</v>
      </c>
      <c r="L9" s="181">
        <v>10413</v>
      </c>
      <c r="M9" s="181">
        <v>1207</v>
      </c>
      <c r="N9" s="181">
        <v>654</v>
      </c>
      <c r="O9" s="181">
        <v>902</v>
      </c>
      <c r="P9" s="181">
        <v>326</v>
      </c>
      <c r="Q9" s="181">
        <v>491</v>
      </c>
      <c r="R9" s="181">
        <v>3707</v>
      </c>
      <c r="S9" s="181">
        <v>6789</v>
      </c>
      <c r="T9" s="181">
        <v>2103</v>
      </c>
      <c r="U9" s="181">
        <v>2497</v>
      </c>
      <c r="V9" s="181">
        <v>6395</v>
      </c>
      <c r="W9" s="181">
        <v>1144</v>
      </c>
      <c r="X9" s="188">
        <v>675</v>
      </c>
      <c r="Y9" s="191">
        <v>96</v>
      </c>
      <c r="Z9" s="181">
        <v>86</v>
      </c>
      <c r="AA9" s="181">
        <v>117</v>
      </c>
      <c r="AB9" s="181">
        <v>65</v>
      </c>
      <c r="AC9" s="181">
        <v>0</v>
      </c>
      <c r="AD9" s="181">
        <v>0</v>
      </c>
      <c r="AE9" s="181">
        <v>0</v>
      </c>
      <c r="AF9" s="188">
        <v>0</v>
      </c>
      <c r="AG9" s="191">
        <v>88</v>
      </c>
      <c r="AH9" s="181">
        <v>45</v>
      </c>
      <c r="AI9" s="181">
        <v>60</v>
      </c>
      <c r="AJ9" s="192">
        <v>73</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6877</v>
      </c>
      <c r="AZ9" s="123">
        <f>IF(ISNUMBER(IF(J_V="SI",T9,T9+AH9)),IF(J_V="SI",T9,T9+AH9)," - ")</f>
        <v>2148</v>
      </c>
      <c r="BA9" s="124">
        <f>IF(ISNUMBER(IF(J_V="SI",U9,U9+AI9)),IF(J_V="SI",U9,U9+AI9)," - ")</f>
        <v>2557</v>
      </c>
      <c r="BB9" s="124">
        <f>IF(ISNUMBER(IF(J_V="SI",V9,V9+AJ9)),IF(J_V="SI",V9,V9+AJ9)," - ")</f>
        <v>6468</v>
      </c>
      <c r="BC9" s="125">
        <f>IF(ISNUMBER(X9),X9," - ")</f>
        <v>675</v>
      </c>
      <c r="BD9" s="126">
        <f>IF(ISNUMBER(BA9/AZ9),BA9/AZ9," - ")</f>
        <v>1.1904096834264433</v>
      </c>
      <c r="BE9" s="127">
        <f>IF(ISNUMBER(BB9/BA9),BB9/BA9, " - ")</f>
        <v>2.5295267892061011</v>
      </c>
      <c r="BF9" s="127">
        <f>IF(ISNUMBER(BC9/BA9),BC9/BA9, " - ")</f>
        <v>0.26398122800156432</v>
      </c>
      <c r="BG9" s="196">
        <f>IF(ISNUMBER((AY9+AZ9)/BA9),(AY9+AZ9)/BA9," - ")</f>
        <v>3.5295267892061011</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77</v>
      </c>
      <c r="J10" s="181">
        <v>21</v>
      </c>
      <c r="K10" s="181">
        <v>22</v>
      </c>
      <c r="L10" s="181">
        <v>76</v>
      </c>
      <c r="M10" s="181">
        <v>21</v>
      </c>
      <c r="N10" s="181">
        <v>0</v>
      </c>
      <c r="O10" s="181">
        <v>0</v>
      </c>
      <c r="P10" s="181">
        <v>0</v>
      </c>
      <c r="Q10" s="181">
        <v>0</v>
      </c>
      <c r="R10" s="181">
        <v>71</v>
      </c>
      <c r="S10" s="181">
        <v>54</v>
      </c>
      <c r="T10" s="181">
        <v>47</v>
      </c>
      <c r="U10" s="181">
        <v>40</v>
      </c>
      <c r="V10" s="181">
        <v>61</v>
      </c>
      <c r="W10" s="181">
        <v>23</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54</v>
      </c>
      <c r="AZ10" s="129">
        <f t="shared" si="0"/>
        <v>47</v>
      </c>
      <c r="BA10" s="129">
        <f t="shared" si="0"/>
        <v>40</v>
      </c>
      <c r="BB10" s="129">
        <f t="shared" si="0"/>
        <v>61</v>
      </c>
      <c r="BC10" s="125">
        <f t="shared" si="0"/>
        <v>23</v>
      </c>
      <c r="BD10" s="126">
        <f>IF(ISNUMBER(BA10/AZ10),BA10/AZ10," - ")</f>
        <v>0.85106382978723405</v>
      </c>
      <c r="BE10" s="127">
        <f>IF(ISNUMBER(BB10/BA10),BB10/BA10, " - ")</f>
        <v>1.5249999999999999</v>
      </c>
      <c r="BF10" s="127">
        <f>IF(ISNUMBER(BC10/BA10),BC10/BA10, " - ")</f>
        <v>0.57499999999999996</v>
      </c>
      <c r="BG10" s="196">
        <f>IF(ISNUMBER((AY10+AZ10)/BA10),(AY10+AZ10)/BA10," - ")</f>
        <v>2.5249999999999999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593</v>
      </c>
      <c r="J11" s="183">
        <v>350</v>
      </c>
      <c r="K11" s="183">
        <v>355</v>
      </c>
      <c r="L11" s="183">
        <v>588</v>
      </c>
      <c r="M11" s="183">
        <v>174</v>
      </c>
      <c r="N11" s="183">
        <v>633</v>
      </c>
      <c r="O11" s="181">
        <v>113</v>
      </c>
      <c r="P11" s="183">
        <v>32</v>
      </c>
      <c r="Q11" s="183">
        <v>62</v>
      </c>
      <c r="R11" s="183">
        <v>459</v>
      </c>
      <c r="S11" s="183">
        <v>735</v>
      </c>
      <c r="T11" s="183">
        <v>726</v>
      </c>
      <c r="U11" s="183">
        <v>667</v>
      </c>
      <c r="V11" s="183">
        <v>795</v>
      </c>
      <c r="W11" s="183">
        <v>137</v>
      </c>
      <c r="X11" s="189">
        <v>606</v>
      </c>
      <c r="Y11" s="191">
        <v>41</v>
      </c>
      <c r="Z11" s="181">
        <v>583</v>
      </c>
      <c r="AA11" s="181">
        <v>501</v>
      </c>
      <c r="AB11" s="181">
        <v>123</v>
      </c>
      <c r="AC11" s="183">
        <v>0</v>
      </c>
      <c r="AD11" s="183">
        <v>0</v>
      </c>
      <c r="AE11" s="183">
        <v>0</v>
      </c>
      <c r="AF11" s="189">
        <v>0</v>
      </c>
      <c r="AG11" s="202">
        <v>41</v>
      </c>
      <c r="AH11" s="183">
        <v>167</v>
      </c>
      <c r="AI11" s="183">
        <v>179</v>
      </c>
      <c r="AJ11" s="203">
        <v>29</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776</v>
      </c>
      <c r="AZ11" s="127">
        <f t="shared" si="1"/>
        <v>893</v>
      </c>
      <c r="BA11" s="127">
        <f t="shared" si="1"/>
        <v>846</v>
      </c>
      <c r="BB11" s="127">
        <f t="shared" si="1"/>
        <v>824</v>
      </c>
      <c r="BC11" s="125">
        <f>IF(ISNUMBER(X11),X11," - ")</f>
        <v>606</v>
      </c>
      <c r="BD11" s="126">
        <f t="shared" ref="BD11:BD12" si="2">IF(ISNUMBER(BA11/AZ11),BA11/AZ11," - ")</f>
        <v>0.94736842105263153</v>
      </c>
      <c r="BE11" s="127">
        <f t="shared" ref="BE11:BE12" si="3">IF(ISNUMBER(BB11/BA11),BB11/BA11, " - ")</f>
        <v>0.97399527186761226</v>
      </c>
      <c r="BF11" s="127">
        <f t="shared" ref="BF11:BF12" si="4">IF(ISNUMBER(BC11/BA11),BC11/BA11, " - ")</f>
        <v>0.71631205673758869</v>
      </c>
      <c r="BG11" s="196">
        <f t="shared" ref="BG11:BG12" si="5">IF(ISNUMBER((AY11+AZ11)/BA11),(AY11+AZ11)/BA11," - ")</f>
        <v>1.9728132387706856</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8621</v>
      </c>
      <c r="J13" s="184">
        <f t="shared" si="6"/>
        <v>5525</v>
      </c>
      <c r="K13" s="184">
        <f t="shared" si="6"/>
        <v>3069</v>
      </c>
      <c r="L13" s="184">
        <f t="shared" si="6"/>
        <v>11077</v>
      </c>
      <c r="M13" s="184">
        <f t="shared" si="6"/>
        <v>1402</v>
      </c>
      <c r="N13" s="184">
        <f t="shared" si="6"/>
        <v>1287</v>
      </c>
      <c r="O13" s="184">
        <f t="shared" si="6"/>
        <v>1015</v>
      </c>
      <c r="P13" s="184">
        <f t="shared" si="6"/>
        <v>358</v>
      </c>
      <c r="Q13" s="184">
        <f t="shared" si="6"/>
        <v>553</v>
      </c>
      <c r="R13" s="184">
        <f t="shared" si="6"/>
        <v>4237</v>
      </c>
      <c r="S13" s="184">
        <f t="shared" si="6"/>
        <v>7578</v>
      </c>
      <c r="T13" s="184">
        <f t="shared" si="6"/>
        <v>2876</v>
      </c>
      <c r="U13" s="184">
        <f t="shared" si="6"/>
        <v>3204</v>
      </c>
      <c r="V13" s="184">
        <f t="shared" si="6"/>
        <v>7251</v>
      </c>
      <c r="W13" s="184">
        <f t="shared" si="6"/>
        <v>1304</v>
      </c>
      <c r="X13" s="184">
        <f t="shared" si="6"/>
        <v>1294</v>
      </c>
      <c r="Y13" s="184">
        <f t="shared" si="6"/>
        <v>137</v>
      </c>
      <c r="Z13" s="184">
        <f t="shared" si="6"/>
        <v>669</v>
      </c>
      <c r="AA13" s="184">
        <f t="shared" si="6"/>
        <v>618</v>
      </c>
      <c r="AB13" s="184">
        <f t="shared" si="6"/>
        <v>188</v>
      </c>
      <c r="AC13" s="184">
        <f t="shared" si="6"/>
        <v>0</v>
      </c>
      <c r="AD13" s="184">
        <f t="shared" si="6"/>
        <v>0</v>
      </c>
      <c r="AE13" s="184">
        <f t="shared" si="6"/>
        <v>0</v>
      </c>
      <c r="AF13" s="184">
        <f>SUBTOTAL(9,AF9:AF12)</f>
        <v>0</v>
      </c>
      <c r="AG13" s="184">
        <f t="shared" ref="AG13:AT13" si="7">SUBTOTAL(9,AG8:AG12)</f>
        <v>129</v>
      </c>
      <c r="AH13" s="184">
        <f t="shared" si="7"/>
        <v>212</v>
      </c>
      <c r="AI13" s="184">
        <f t="shared" si="7"/>
        <v>239</v>
      </c>
      <c r="AJ13" s="184">
        <f t="shared" si="7"/>
        <v>102</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7707</v>
      </c>
      <c r="AZ13" s="184">
        <f>SUBTOTAL(9,AZ8:AZ12)</f>
        <v>3088</v>
      </c>
      <c r="BA13" s="184">
        <f>SUBTOTAL(9,BA8:BA12)</f>
        <v>3443</v>
      </c>
      <c r="BB13" s="184">
        <f>SUBTOTAL(9,BB8:BB12)</f>
        <v>7353</v>
      </c>
      <c r="BC13" s="184">
        <f>SUBTOTAL(9,BC8:BC12)</f>
        <v>1304</v>
      </c>
      <c r="BD13" s="205">
        <f>IF(ISNUMBER(BA13/AZ13),BA13/AZ13," - ")</f>
        <v>1.114961139896373</v>
      </c>
      <c r="BE13" s="206">
        <f>IF(ISNUMBER(BB13/BA13),BB13/BA13, " - ")</f>
        <v>2.1356375254138831</v>
      </c>
      <c r="BF13" s="206">
        <f>IF(ISNUMBER(BC13/BA13),BC13/BA13, " - ")</f>
        <v>0.3787394713912286</v>
      </c>
      <c r="BG13" s="207">
        <f>IF(ISNUMBER((AY13+AZ13)/BA13),(AY13+AZ13)/BA13," - ")</f>
        <v>3.1353470810339821</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4592</v>
      </c>
      <c r="J15" s="183">
        <v>4021</v>
      </c>
      <c r="K15" s="183">
        <v>4288</v>
      </c>
      <c r="L15" s="183">
        <v>4333</v>
      </c>
      <c r="M15" s="183">
        <v>665</v>
      </c>
      <c r="N15" s="183">
        <v>1980</v>
      </c>
      <c r="O15" s="181">
        <v>0</v>
      </c>
      <c r="P15" s="183">
        <v>392</v>
      </c>
      <c r="Q15" s="183">
        <v>202</v>
      </c>
      <c r="R15" s="183">
        <v>867</v>
      </c>
      <c r="S15" s="183">
        <v>4364</v>
      </c>
      <c r="T15" s="183">
        <v>4033</v>
      </c>
      <c r="U15" s="183">
        <v>4058</v>
      </c>
      <c r="V15" s="183">
        <v>4353</v>
      </c>
      <c r="W15" s="183">
        <v>535</v>
      </c>
      <c r="X15" s="189">
        <v>1963</v>
      </c>
      <c r="Y15" s="202">
        <v>0</v>
      </c>
      <c r="Z15" s="183">
        <v>0</v>
      </c>
      <c r="AA15" s="183">
        <v>0</v>
      </c>
      <c r="AB15" s="183">
        <v>0</v>
      </c>
      <c r="AC15" s="183">
        <v>4</v>
      </c>
      <c r="AD15" s="183">
        <v>63</v>
      </c>
      <c r="AE15" s="183">
        <v>62</v>
      </c>
      <c r="AF15" s="189">
        <v>5</v>
      </c>
      <c r="AG15" s="202">
        <v>0</v>
      </c>
      <c r="AH15" s="183">
        <v>0</v>
      </c>
      <c r="AI15" s="183">
        <v>0</v>
      </c>
      <c r="AJ15" s="203">
        <v>0</v>
      </c>
      <c r="AK15" s="182">
        <v>19</v>
      </c>
      <c r="AL15" s="183">
        <v>61</v>
      </c>
      <c r="AM15" s="183">
        <v>68</v>
      </c>
      <c r="AN15" s="189">
        <v>12</v>
      </c>
      <c r="AO15" s="259">
        <v>5</v>
      </c>
      <c r="AP15" s="155">
        <v>5</v>
      </c>
      <c r="AQ15" s="155">
        <v>5</v>
      </c>
      <c r="AR15" s="155">
        <v>5</v>
      </c>
      <c r="AS15" s="340" t="s">
        <v>527</v>
      </c>
      <c r="AT15" s="203" t="s">
        <v>326</v>
      </c>
      <c r="AU15" s="202"/>
      <c r="AV15" s="203"/>
      <c r="AW15" s="202"/>
      <c r="AX15" s="203"/>
      <c r="AY15" s="128">
        <f t="shared" ref="AY15:BB16" si="9">IF(ISNUMBER(IF(D_I="SI",S15,S15+AK15)),IF(D_I="SI",S15,S15+AK15)," - ")</f>
        <v>4364</v>
      </c>
      <c r="AZ15" s="129">
        <f t="shared" si="9"/>
        <v>4033</v>
      </c>
      <c r="BA15" s="129">
        <f t="shared" si="9"/>
        <v>4058</v>
      </c>
      <c r="BB15" s="129">
        <f t="shared" si="9"/>
        <v>4353</v>
      </c>
      <c r="BC15" s="125">
        <f>IF(ISNUMBER(W15),W15," - ")</f>
        <v>535</v>
      </c>
      <c r="BD15" s="126">
        <f>IF(ISNUMBER(BA15/AZ15),BA15/AZ15," - ")</f>
        <v>1.0061988594098685</v>
      </c>
      <c r="BE15" s="127">
        <f>IF(ISNUMBER(BB15/BA15),BB15/BA15, " - ")</f>
        <v>1.0726959093149335</v>
      </c>
      <c r="BF15" s="127">
        <f>IF(ISNUMBER(BC15/BA15),BC15/BA15, " - ")</f>
        <v>0.13183834401182848</v>
      </c>
      <c r="BG15" s="196">
        <f t="shared" ref="BG15:BG16" si="10">IF(ISNUMBER((AY15+AZ15)/BA15),(AY15+AZ15)/BA15," - ")</f>
        <v>2.0692459339576148</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265</v>
      </c>
      <c r="J17" s="183">
        <v>316</v>
      </c>
      <c r="K17" s="183">
        <v>329</v>
      </c>
      <c r="L17" s="183">
        <v>252</v>
      </c>
      <c r="M17" s="183">
        <v>52</v>
      </c>
      <c r="N17" s="183">
        <v>194</v>
      </c>
      <c r="O17" s="183">
        <v>0</v>
      </c>
      <c r="P17" s="183">
        <v>0</v>
      </c>
      <c r="Q17" s="183">
        <v>1</v>
      </c>
      <c r="R17" s="183">
        <v>0</v>
      </c>
      <c r="S17" s="183">
        <v>228</v>
      </c>
      <c r="T17" s="183">
        <v>303</v>
      </c>
      <c r="U17" s="183">
        <v>298</v>
      </c>
      <c r="V17" s="183">
        <v>236</v>
      </c>
      <c r="W17" s="183">
        <v>34</v>
      </c>
      <c r="X17" s="189">
        <v>105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228</v>
      </c>
      <c r="AZ17" s="129">
        <f t="shared" si="14"/>
        <v>303</v>
      </c>
      <c r="BA17" s="129">
        <f t="shared" si="14"/>
        <v>298</v>
      </c>
      <c r="BB17" s="129">
        <f t="shared" si="14"/>
        <v>236</v>
      </c>
      <c r="BC17" s="125">
        <f>IF(ISNUMBER(W17),W17," - ")</f>
        <v>34</v>
      </c>
      <c r="BD17" s="126">
        <f>IF(ISNUMBER(BA17/AZ17),BA17/AZ17," - ")</f>
        <v>0.98349834983498352</v>
      </c>
      <c r="BE17" s="127">
        <f>IF(ISNUMBER(BB17/BA17),BB17/BA17, " - ")</f>
        <v>0.79194630872483218</v>
      </c>
      <c r="BF17" s="127">
        <f>IF(ISNUMBER(BC17/BA17),BC17/BA17, " - ")</f>
        <v>0.11409395973154363</v>
      </c>
      <c r="BG17" s="196">
        <f>IF(ISNUMBER((AY17+AZ17)/BA17),(AY17+AZ17)/BA17," - ")</f>
        <v>1.7818791946308725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4857</v>
      </c>
      <c r="J18" s="184">
        <f t="shared" si="15"/>
        <v>4337</v>
      </c>
      <c r="K18" s="184">
        <f t="shared" si="15"/>
        <v>4617</v>
      </c>
      <c r="L18" s="184">
        <f t="shared" si="15"/>
        <v>4585</v>
      </c>
      <c r="M18" s="184">
        <f t="shared" si="15"/>
        <v>717</v>
      </c>
      <c r="N18" s="184">
        <f t="shared" si="15"/>
        <v>2174</v>
      </c>
      <c r="O18" s="184">
        <f t="shared" si="15"/>
        <v>0</v>
      </c>
      <c r="P18" s="184">
        <f t="shared" si="15"/>
        <v>392</v>
      </c>
      <c r="Q18" s="184">
        <f t="shared" si="15"/>
        <v>203</v>
      </c>
      <c r="R18" s="184">
        <f t="shared" si="15"/>
        <v>867</v>
      </c>
      <c r="S18" s="184">
        <f t="shared" si="15"/>
        <v>4592</v>
      </c>
      <c r="T18" s="184">
        <f t="shared" si="15"/>
        <v>4336</v>
      </c>
      <c r="U18" s="184">
        <f t="shared" si="15"/>
        <v>4356</v>
      </c>
      <c r="V18" s="184">
        <f t="shared" si="15"/>
        <v>4589</v>
      </c>
      <c r="W18" s="184">
        <f t="shared" si="15"/>
        <v>569</v>
      </c>
      <c r="X18" s="184">
        <f t="shared" si="15"/>
        <v>2068</v>
      </c>
      <c r="Y18" s="184">
        <f t="shared" si="15"/>
        <v>0</v>
      </c>
      <c r="Z18" s="184">
        <f t="shared" si="15"/>
        <v>0</v>
      </c>
      <c r="AA18" s="184">
        <f t="shared" si="15"/>
        <v>0</v>
      </c>
      <c r="AB18" s="184">
        <f t="shared" si="15"/>
        <v>0</v>
      </c>
      <c r="AC18" s="184">
        <f t="shared" si="15"/>
        <v>4</v>
      </c>
      <c r="AD18" s="184">
        <f t="shared" si="15"/>
        <v>63</v>
      </c>
      <c r="AE18" s="184">
        <f t="shared" si="15"/>
        <v>62</v>
      </c>
      <c r="AF18" s="184">
        <f t="shared" si="15"/>
        <v>5</v>
      </c>
      <c r="AG18" s="184">
        <f t="shared" si="15"/>
        <v>0</v>
      </c>
      <c r="AH18" s="184">
        <f t="shared" si="15"/>
        <v>0</v>
      </c>
      <c r="AI18" s="184">
        <f t="shared" si="15"/>
        <v>0</v>
      </c>
      <c r="AJ18" s="184">
        <f t="shared" si="15"/>
        <v>0</v>
      </c>
      <c r="AK18" s="184">
        <f t="shared" si="15"/>
        <v>19</v>
      </c>
      <c r="AL18" s="184">
        <f t="shared" si="15"/>
        <v>61</v>
      </c>
      <c r="AM18" s="184">
        <f t="shared" si="15"/>
        <v>68</v>
      </c>
      <c r="AN18" s="184">
        <f t="shared" si="15"/>
        <v>12</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4592</v>
      </c>
      <c r="AZ18" s="184">
        <f>SUBTOTAL(9,AZ14:AZ17)</f>
        <v>4336</v>
      </c>
      <c r="BA18" s="184">
        <f>SUBTOTAL(9,BA14:BA17)</f>
        <v>4356</v>
      </c>
      <c r="BB18" s="184">
        <f>SUBTOTAL(9,BB14:BB17)</f>
        <v>4589</v>
      </c>
      <c r="BC18" s="184">
        <f>SUBTOTAL(9,BC14:BC17)</f>
        <v>569</v>
      </c>
      <c r="BD18" s="205">
        <f>IF(ISNUMBER(BA18/AZ18),BA18/AZ18," - ")</f>
        <v>1.0046125461254614</v>
      </c>
      <c r="BE18" s="206">
        <f>IF(ISNUMBER(BB18/BA18),BB18/BA18, " - ")</f>
        <v>1.0534894398530763</v>
      </c>
      <c r="BF18" s="206">
        <f>IF(ISNUMBER(BC18/BA18),BC18/BA18, " - ")</f>
        <v>0.13062442607897154</v>
      </c>
      <c r="BG18" s="207">
        <f>IF(ISNUMBER((AY18+AZ18)/BA18),(AY18+AZ18)/BA18," - ")</f>
        <v>2.049586776859504</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13478</v>
      </c>
      <c r="J19" s="134">
        <f t="shared" si="18"/>
        <v>9862</v>
      </c>
      <c r="K19" s="134">
        <f t="shared" si="18"/>
        <v>7686</v>
      </c>
      <c r="L19" s="134">
        <f t="shared" si="18"/>
        <v>15662</v>
      </c>
      <c r="M19" s="134">
        <f t="shared" si="18"/>
        <v>2119</v>
      </c>
      <c r="N19" s="134">
        <f t="shared" si="18"/>
        <v>3461</v>
      </c>
      <c r="O19" s="134">
        <f t="shared" si="18"/>
        <v>1015</v>
      </c>
      <c r="P19" s="134">
        <f t="shared" si="18"/>
        <v>750</v>
      </c>
      <c r="Q19" s="134">
        <f t="shared" si="18"/>
        <v>756</v>
      </c>
      <c r="R19" s="134">
        <f t="shared" si="18"/>
        <v>5104</v>
      </c>
      <c r="S19" s="134">
        <f t="shared" si="18"/>
        <v>12170</v>
      </c>
      <c r="T19" s="134">
        <f t="shared" si="18"/>
        <v>7212</v>
      </c>
      <c r="U19" s="134">
        <f t="shared" si="18"/>
        <v>7560</v>
      </c>
      <c r="V19" s="134">
        <f t="shared" si="18"/>
        <v>11840</v>
      </c>
      <c r="W19" s="134">
        <f t="shared" si="18"/>
        <v>1873</v>
      </c>
      <c r="X19" s="134">
        <f t="shared" si="18"/>
        <v>3362</v>
      </c>
      <c r="Y19" s="134">
        <f t="shared" si="18"/>
        <v>137</v>
      </c>
      <c r="Z19" s="134">
        <f t="shared" si="18"/>
        <v>669</v>
      </c>
      <c r="AA19" s="134">
        <f t="shared" si="18"/>
        <v>618</v>
      </c>
      <c r="AB19" s="134">
        <f t="shared" si="18"/>
        <v>188</v>
      </c>
      <c r="AC19" s="134">
        <f t="shared" si="18"/>
        <v>4</v>
      </c>
      <c r="AD19" s="134">
        <f t="shared" si="18"/>
        <v>63</v>
      </c>
      <c r="AE19" s="134">
        <f t="shared" si="18"/>
        <v>62</v>
      </c>
      <c r="AF19" s="134">
        <f t="shared" si="18"/>
        <v>5</v>
      </c>
      <c r="AG19" s="134">
        <f t="shared" si="18"/>
        <v>129</v>
      </c>
      <c r="AH19" s="134">
        <f t="shared" si="18"/>
        <v>212</v>
      </c>
      <c r="AI19" s="134">
        <f t="shared" si="18"/>
        <v>239</v>
      </c>
      <c r="AJ19" s="134">
        <f t="shared" si="18"/>
        <v>102</v>
      </c>
      <c r="AK19" s="134">
        <f t="shared" si="18"/>
        <v>19</v>
      </c>
      <c r="AL19" s="134">
        <f t="shared" si="18"/>
        <v>61</v>
      </c>
      <c r="AM19" s="134">
        <f t="shared" si="18"/>
        <v>68</v>
      </c>
      <c r="AN19" s="210">
        <f t="shared" si="18"/>
        <v>12</v>
      </c>
      <c r="AO19" s="211">
        <v>14</v>
      </c>
      <c r="AP19" s="211">
        <v>14</v>
      </c>
      <c r="AQ19" s="211">
        <v>14</v>
      </c>
      <c r="AR19" s="211">
        <v>14</v>
      </c>
      <c r="AS19" s="153">
        <f t="shared" si="18"/>
        <v>0</v>
      </c>
      <c r="AT19" s="153">
        <f t="shared" si="18"/>
        <v>0</v>
      </c>
      <c r="AU19" s="211"/>
      <c r="AV19" s="212"/>
      <c r="AW19" s="211"/>
      <c r="AX19" s="212"/>
      <c r="AY19" s="133">
        <f>SUBTOTAL(9,AY9:AY18)</f>
        <v>12299</v>
      </c>
      <c r="AZ19" s="134">
        <f>SUBTOTAL(9,AZ9:AZ18)</f>
        <v>7424</v>
      </c>
      <c r="BA19" s="134">
        <f>SUBTOTAL(9,BA9:BA18)</f>
        <v>7799</v>
      </c>
      <c r="BB19" s="134">
        <f>SUBTOTAL(9,BB9:BB18)</f>
        <v>11942</v>
      </c>
      <c r="BC19" s="135">
        <f>SUBTOTAL(9,BC9:BC18)</f>
        <v>1873</v>
      </c>
      <c r="BD19" s="213">
        <f>IF(ISNUMBER(BA19/AZ19),BA19/AZ19," - ")</f>
        <v>1.0505118534482758</v>
      </c>
      <c r="BE19" s="210">
        <f>IF(ISNUMBER(BB19/BA19),BB19/BA19, " - ")</f>
        <v>1.5312219515322478</v>
      </c>
      <c r="BF19" s="210">
        <f>IF(ISNUMBER(BC19/BA19),BC19/BA19, " - ")</f>
        <v>0.24015899474291577</v>
      </c>
      <c r="BG19" s="135">
        <f>IF(ISNUMBER((AY19+AZ19)/BA19),(AY19+AZ19)/BA19," - ")</f>
        <v>2.5289139633286317</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UuKoccP6I/n842VBaDoFucDKuAVdhxvYVJBJCwDW1TW/niNfDpSPh15hoE2JapEyywNl7m6QNv+o5AjvRstA==" saltValue="rCUsfvYpFfZZb4h5aD7m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OPAloNNc3oti/gdwp/hIWO0nGR8bmT+aJjOckL0ZMmqKSZT0maWEWxbueITTGYSp6fp0BOwxjhmpfEq0fZ35Q==" saltValue="ClNP6U9n82esEvNOQmoz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GIPUZKOA  Resumenes por Partidos Judiciales  DONOSTIA-SAN SEBASTIAN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86</v>
      </c>
      <c r="O9" s="334"/>
      <c r="P9" s="334"/>
      <c r="Q9" s="226">
        <f>IF(ISNUMBER(Datos!P9),Datos!P9,0)</f>
        <v>326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491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65</v>
      </c>
      <c r="AI9" s="334" t="str">
        <f>IF(ISNUMBER(Datos!CD9),Datos!CD9,"-")</f>
        <v>-</v>
      </c>
      <c r="AJ9" s="334" t="str">
        <f>IF(ISNUMBER(Datos!EN9),Datos!EN9," - ")</f>
        <v xml:space="preserve"> - </v>
      </c>
      <c r="AK9" s="334"/>
      <c r="AL9" s="479"/>
      <c r="AM9" s="335">
        <f>IF(ISNUMBER(Datos!R9),Datos!R9," - ")</f>
        <v>3707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1207</v>
      </c>
      <c r="BD9" s="229">
        <f>IF(ISNUMBER(Datos!N9),Datos!N9," - ")</f>
        <v>654</v>
      </c>
      <c r="BE9" s="229" t="str">
        <f>IF(ISNUMBER(Datos!BW9),Datos!BW9," - ")</f>
        <v xml:space="preserve"> - </v>
      </c>
      <c r="BF9" s="228" t="str">
        <f>IF(ISNUMBER(Datos!BX9),Datos!BX9," - ")</f>
        <v xml:space="preserve"> - </v>
      </c>
      <c r="BG9" s="243">
        <f>IF(ISNUMBER(IF(J_V="SI",Datos!K9/Datos!J9,(Datos!K9+Datos!AA9)/(Datos!J9+Datos!Z9))),IF(J_V="SI",Datos!K9/Datos!J9,(Datos!K9+Datos!AA9)/(Datos!J9+Datos!Z9))," - ")</f>
        <v>0.5360687022900763</v>
      </c>
      <c r="BH9" s="260">
        <f>IF(ISNUMBER(((IF(J_V="SI",Datos!L9/Datos!K9,(Datos!L9+Datos!AB9)/(Datos!K9+Datos!AA9)))*11)/factor_trimestre),((IF(J_V="SI",Datos!L9/Datos!K9,(Datos!L9+Datos!AB9)/(Datos!K9+Datos!AA9)))*11)/factor_trimestre," - ")</f>
        <v>11.190459238163047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-4.261363636363636E-2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77</v>
      </c>
      <c r="G10" s="333">
        <f>IF(ISNUMBER(Datos!I10),Datos!I10," - ")</f>
        <v>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76</v>
      </c>
      <c r="AG10" s="334"/>
      <c r="AH10" s="334"/>
      <c r="AI10" s="334"/>
      <c r="AJ10" s="334"/>
      <c r="AK10" s="334"/>
      <c r="AL10" s="479"/>
      <c r="AM10" s="335">
        <f>IF(ISNUMBER(Datos!R10),Datos!R10," - ")</f>
        <v>71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0</v>
      </c>
      <c r="BE10" s="229" t="str">
        <f>IF(ISNUMBER(Datos!BW10),Datos!BW10," - ")</f>
        <v xml:space="preserve"> - </v>
      </c>
      <c r="BF10" s="228" t="str">
        <f>IF(ISNUMBER(Datos!BX10),Datos!BX10," - ")</f>
        <v xml:space="preserve"> - </v>
      </c>
      <c r="BG10" s="243">
        <f>IF(ISNUMBER(Datos!K10/Datos!J10),Datos!K10/Datos!J10," - ")</f>
        <v>1.0476190476190477</v>
      </c>
      <c r="BH10" s="260">
        <f>IF(ISNUMBER(((Datos!L10/Datos!K10)*11)/factor_trimestre),((Datos!L10/Datos!K10)*11)/factor_trimestre," - ")</f>
        <v>10.363636363636363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583</v>
      </c>
      <c r="O11" s="334"/>
      <c r="P11" s="334"/>
      <c r="Q11" s="226">
        <f>IF(ISNUMBER(Datos!P11),Datos!P11,0)</f>
        <v>32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62</v>
      </c>
      <c r="AD11" s="334"/>
      <c r="AE11" s="484"/>
      <c r="AF11" s="332" t="str">
        <f>IF(ISNUMBER(IF(J_V="SI",Datos!L11,Datos!L11+Datos!AB11)-IF(Monitorios="SI",Datos!CD11,0)),
                          IF(J_V="SI",Datos!L11,Datos!L11+Datos!AB11)-IF(Monitorios="SI",Datos!CD11,0),
                          " - ")</f>
        <v xml:space="preserve"> - </v>
      </c>
      <c r="AG11" s="334"/>
      <c r="AH11" s="334">
        <f>IF(ISNUMBER(Datos!AB11),Datos!AB11,"-")</f>
        <v>123</v>
      </c>
      <c r="AI11" s="334"/>
      <c r="AJ11" s="334"/>
      <c r="AK11" s="334"/>
      <c r="AL11" s="479"/>
      <c r="AM11" s="335">
        <f>IF(ISNUMBER(Datos!R11),Datos!R11," - ")</f>
        <v>459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174</v>
      </c>
      <c r="BD11" s="229">
        <f>IF(ISNUMBER(Datos!N11),Datos!N11," - ")</f>
        <v>633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0.917470525187567</v>
      </c>
      <c r="BH11" s="260">
        <f>IF(ISNUMBER(((IF(J_V="SI",Datos!L11/Datos!K11,(Datos!L11+Datos!AB11)/(Datos!K11+Datos!AA11)))*11)/factor_trimestre),((IF(J_V="SI",Datos!L11/Datos!K11,(Datos!L11+Datos!AB11)/(Datos!K11+Datos!AA11)))*11)/factor_trimestre," - ")</f>
        <v>2.4918224299065419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-6.1349693251533742E-2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77</v>
      </c>
      <c r="G13" s="898">
        <f t="shared" si="0"/>
        <v>77</v>
      </c>
      <c r="H13" s="899">
        <f t="shared" si="0"/>
        <v>0</v>
      </c>
      <c r="I13" s="898">
        <f t="shared" si="0"/>
        <v>0</v>
      </c>
      <c r="J13" s="867">
        <f t="shared" si="0"/>
        <v>0</v>
      </c>
      <c r="K13" s="867">
        <f t="shared" si="0"/>
        <v>0</v>
      </c>
      <c r="L13" s="899">
        <f t="shared" si="0"/>
        <v>0</v>
      </c>
      <c r="M13" s="899">
        <f t="shared" si="0"/>
        <v>0</v>
      </c>
      <c r="N13" s="899">
        <f t="shared" si="0"/>
        <v>669</v>
      </c>
      <c r="O13" s="900">
        <f t="shared" si="0"/>
        <v>0</v>
      </c>
      <c r="P13" s="900">
        <f t="shared" si="0"/>
        <v>0</v>
      </c>
      <c r="Q13" s="899">
        <f t="shared" si="0"/>
        <v>358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553</v>
      </c>
      <c r="AD13" s="899">
        <f t="shared" si="1"/>
        <v>0</v>
      </c>
      <c r="AE13" s="899">
        <f t="shared" si="1"/>
        <v>0</v>
      </c>
      <c r="AF13" s="899">
        <f t="shared" si="1"/>
        <v>76</v>
      </c>
      <c r="AG13" s="899">
        <f t="shared" si="1"/>
        <v>0</v>
      </c>
      <c r="AH13" s="899">
        <f t="shared" si="1"/>
        <v>188</v>
      </c>
      <c r="AI13" s="899">
        <f t="shared" si="1"/>
        <v>0</v>
      </c>
      <c r="AJ13" s="899">
        <f t="shared" si="1"/>
        <v>0</v>
      </c>
      <c r="AK13" s="899">
        <f t="shared" si="1"/>
        <v>0</v>
      </c>
      <c r="AL13" s="899">
        <f t="shared" si="1"/>
        <v>0</v>
      </c>
      <c r="AM13" s="899">
        <f t="shared" si="1"/>
        <v>4237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1402</v>
      </c>
      <c r="BD13" s="899">
        <f t="shared" si="1"/>
        <v>1287</v>
      </c>
      <c r="BE13" s="899">
        <f t="shared" si="1"/>
        <v>0</v>
      </c>
      <c r="BF13" s="899">
        <f t="shared" si="1"/>
        <v>0</v>
      </c>
      <c r="BG13" s="899">
        <f>IF(ISNUMBER(Datos!K13/Datos!J13),Datos!K13/Datos!J13," - ")</f>
        <v>0.5554751131221719</v>
      </c>
      <c r="BH13" s="903">
        <f>IF(ISNUMBER(((Datos!L13/Datos!K13)*11)/factor_trimestre),((Datos!L13/Datos!K13)*11)/factor_trimestre," - ")</f>
        <v>10.827956989247314</v>
      </c>
      <c r="BI13" s="899">
        <f>IF(ISNUMBER('Resol  Asuntos'!D13/NºAsuntos!G13),'Resol  Asuntos'!D13/NºAsuntos!G13," - ")</f>
        <v>0.38025494982370489</v>
      </c>
      <c r="BJ13" s="899" t="str">
        <f>IF(ISNUMBER(Datos!CI13/Datos!CJ13),Datos!CI13/Datos!CJ13," - ")</f>
        <v xml:space="preserve"> - </v>
      </c>
      <c r="BK13" s="899">
        <f>SUBTOTAL(9,BK8:BK12)</f>
        <v>0</v>
      </c>
      <c r="BL13" s="899">
        <f>IF(ISNUMBER((I13-AB13+L13)/(F13)),(I13-AB13+L13)/(F13)," - ")</f>
        <v>-0.2857142857142857</v>
      </c>
      <c r="BM13" s="904">
        <f>SUBTOTAL(9,BM9:BM12)</f>
        <v>-0.1039633296151701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4600</v>
      </c>
      <c r="G15" s="598">
        <f>IF(ISNUMBER(IF(D_I="SI",Datos!I15,Datos!I15+Datos!AC15)),IF(D_I="SI",Datos!I15,Datos!I15+Datos!AC15)," - ")</f>
        <v>4592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392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4288</v>
      </c>
      <c r="AC15" s="226">
        <f>IF(ISNUMBER(Datos!Q15),Datos!Q15," - ")</f>
        <v>202</v>
      </c>
      <c r="AD15" s="334"/>
      <c r="AE15" s="484"/>
      <c r="AF15" s="596">
        <f>IF(ISNUMBER(IF(D_I="SI",Datos!L15,Datos!L15+Datos!AF15)),IF(D_I="SI",Datos!L15,Datos!L15+Datos!AF15)," - ")</f>
        <v>4333</v>
      </c>
      <c r="AG15" s="334"/>
      <c r="AH15" s="334"/>
      <c r="AI15" s="334"/>
      <c r="AJ15" s="334"/>
      <c r="AK15" s="334"/>
      <c r="AL15" s="479"/>
      <c r="AM15" s="335">
        <f>IF(ISNUMBER(Datos!R15),Datos!R15," - ")</f>
        <v>867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665</v>
      </c>
      <c r="BD15" s="229">
        <f>IF(ISNUMBER(Datos!N15),Datos!N15," - ")</f>
        <v>1980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1.066401392688386</v>
      </c>
      <c r="BH15" s="260">
        <f>IF(ISNUMBER(((IF(D_I="SI",Datos!L15/Datos!K15,(Datos!L15+Datos!AF15)/(Datos!K15+Datos!AE15)))*11)/factor_trimestre),((IF(D_I="SI",Datos!L15/Datos!K15,(Datos!L15+Datos!AF15)/(Datos!K15+Datos!AE15)))*11)/factor_trimestre," - ")</f>
        <v>3.0314832089552244</v>
      </c>
      <c r="BI15" s="243">
        <f>IF(ISNUMBER('Resol  Asuntos'!D15/NºAsuntos!G15),'Resol  Asuntos'!D15/NºAsuntos!G15," - ")</f>
        <v>0.1550839552238806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329</v>
      </c>
      <c r="AC17" s="226">
        <f>IF(ISNUMBER(Datos!Q17),Datos!Q17," - ")</f>
        <v>1</v>
      </c>
      <c r="AD17" s="334"/>
      <c r="AE17" s="484"/>
      <c r="AF17" s="332">
        <f>IF(ISNUMBER(Datos!L17),Datos!L17,"-")</f>
        <v>252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52</v>
      </c>
      <c r="BD17" s="229">
        <f>IF(ISNUMBER(Datos!N17),Datos!N17," - ")</f>
        <v>194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1.0411392405063291</v>
      </c>
      <c r="BH17" s="260">
        <f>IF(ISNUMBER(((IF(D_I="SI",Datos!L17/Datos!K17,(Datos!L17+Datos!AF17)/(Datos!K17+Datos!AE17)))*11)/factor_trimestre),((IF(D_I="SI",Datos!L17/Datos!K17,(Datos!L17+Datos!AF17)/(Datos!K17+Datos!AE17)))*11)/factor_trimestre," - ")</f>
        <v>2.2978723404255317</v>
      </c>
      <c r="BI17" s="243">
        <f>IF(ISNUMBER('Resol  Asuntos'!D17/NºAsuntos!G17),'Resol  Asuntos'!D17/NºAsuntos!G17," - ")</f>
        <v>0.1580547112462006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4600</v>
      </c>
      <c r="G18" s="898">
        <f>SUBTOTAL(9,G15:G17)</f>
        <v>4857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392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4617</v>
      </c>
      <c r="AC18" s="899">
        <f t="shared" si="4"/>
        <v>203</v>
      </c>
      <c r="AD18" s="899">
        <f t="shared" si="4"/>
        <v>0</v>
      </c>
      <c r="AE18" s="899">
        <f t="shared" si="4"/>
        <v>0</v>
      </c>
      <c r="AF18" s="899">
        <f t="shared" si="4"/>
        <v>4585</v>
      </c>
      <c r="AG18" s="899">
        <f t="shared" si="4"/>
        <v>0</v>
      </c>
      <c r="AH18" s="899">
        <f t="shared" si="4"/>
        <v>0</v>
      </c>
      <c r="AI18" s="899">
        <f t="shared" si="4"/>
        <v>0</v>
      </c>
      <c r="AJ18" s="899">
        <f t="shared" si="4"/>
        <v>0</v>
      </c>
      <c r="AK18" s="899">
        <f t="shared" si="4"/>
        <v>0</v>
      </c>
      <c r="AL18" s="899">
        <f t="shared" si="4"/>
        <v>0</v>
      </c>
      <c r="AM18" s="899">
        <f t="shared" si="4"/>
        <v>867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717</v>
      </c>
      <c r="BD18" s="899">
        <f t="shared" si="4"/>
        <v>2174</v>
      </c>
      <c r="BE18" s="899">
        <f t="shared" si="4"/>
        <v>0</v>
      </c>
      <c r="BF18" s="899">
        <f t="shared" si="4"/>
        <v>0</v>
      </c>
      <c r="BG18" s="899">
        <f>IF(ISNUMBER(Datos!K18/Datos!J18),Datos!K18/Datos!J18," - ")</f>
        <v>1.0645607562831449</v>
      </c>
      <c r="BH18" s="903">
        <f>IF(ISNUMBER(((Datos!L18/Datos!K18)*11)/factor_trimestre),((Datos!L18/Datos!K18)*11)/factor_trimestre," - ")</f>
        <v>2.9792072774528919</v>
      </c>
      <c r="BI18" s="899">
        <f>SUBTOTAL(9,BI15:BI17)</f>
        <v>0.31313866647008121</v>
      </c>
      <c r="BJ18" s="899">
        <f>SUBTOTAL(9,BJ15:BJ17)</f>
        <v>0</v>
      </c>
      <c r="BK18" s="899">
        <f>SUBTOTAL(9,BK15:BK17)</f>
        <v>0</v>
      </c>
      <c r="BL18" s="899">
        <f>IF(ISNUMBER((I18-AB18+L18)/(F18)),(I18-AB18+L18)/(F18)," - ")</f>
        <v>-1.0036956521739131</v>
      </c>
      <c r="BM18" s="905">
        <f>IF(ISNUMBER((Datos!P18-Datos!Q18)/(Datos!R18-Datos!P18+Datos!Q18)),(Datos!P18-Datos!Q18)/(Datos!R18-Datos!P18+Datos!Q18)," - ")</f>
        <v>0.27876106194690264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4677</v>
      </c>
      <c r="G19" s="820">
        <f t="shared" si="6"/>
        <v>4934</v>
      </c>
      <c r="H19" s="822">
        <f t="shared" si="6"/>
        <v>0</v>
      </c>
      <c r="I19" s="820">
        <f t="shared" si="6"/>
        <v>0</v>
      </c>
      <c r="J19" s="822">
        <f t="shared" si="6"/>
        <v>0</v>
      </c>
      <c r="K19" s="822">
        <f t="shared" si="6"/>
        <v>0</v>
      </c>
      <c r="L19" s="881">
        <f t="shared" si="6"/>
        <v>0</v>
      </c>
      <c r="M19" s="881">
        <f t="shared" si="6"/>
        <v>0</v>
      </c>
      <c r="N19" s="881">
        <f t="shared" si="6"/>
        <v>669</v>
      </c>
      <c r="O19" s="881">
        <f t="shared" si="6"/>
        <v>0</v>
      </c>
      <c r="P19" s="881">
        <f t="shared" si="6"/>
        <v>0</v>
      </c>
      <c r="Q19" s="822">
        <f t="shared" si="6"/>
        <v>750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4639</v>
      </c>
      <c r="AC19" s="821">
        <f t="shared" si="7"/>
        <v>756</v>
      </c>
      <c r="AD19" s="821">
        <f t="shared" si="7"/>
        <v>0</v>
      </c>
      <c r="AE19" s="821">
        <f t="shared" si="7"/>
        <v>0</v>
      </c>
      <c r="AF19" s="828">
        <f t="shared" si="7"/>
        <v>4661</v>
      </c>
      <c r="AG19" s="828">
        <f t="shared" si="7"/>
        <v>0</v>
      </c>
      <c r="AH19" s="828">
        <f t="shared" si="7"/>
        <v>188</v>
      </c>
      <c r="AI19" s="828">
        <f t="shared" si="7"/>
        <v>0</v>
      </c>
      <c r="AJ19" s="821">
        <f t="shared" si="7"/>
        <v>0</v>
      </c>
      <c r="AK19" s="828">
        <f t="shared" si="7"/>
        <v>0</v>
      </c>
      <c r="AL19" s="828">
        <f t="shared" si="7"/>
        <v>0</v>
      </c>
      <c r="AM19" s="828">
        <f t="shared" si="7"/>
        <v>5104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2119</v>
      </c>
      <c r="BD19" s="820">
        <f t="shared" si="7"/>
        <v>3461</v>
      </c>
      <c r="BE19" s="820">
        <f t="shared" si="7"/>
        <v>0</v>
      </c>
      <c r="BF19" s="830">
        <f t="shared" si="7"/>
        <v>0</v>
      </c>
      <c r="BG19" s="915">
        <f>IF(ISNUMBER(Datos!K19/Datos!J19),Datos!K19/Datos!J19," - ")</f>
        <v>0.77935510038531741</v>
      </c>
      <c r="BH19" s="915">
        <f>IF(ISNUMBER(((Datos!L19/Datos!K19)*11)/factor_trimestre),((Datos!L19/Datos!K19)*11)/factor_trimestre," - ")</f>
        <v>6.1131928181108508</v>
      </c>
      <c r="BI19" s="813">
        <f>IF(ISNUMBER(Datos!J19/Datos!I19),Datos!J19/Datos!I19," - ")</f>
        <v>0.73171093634070339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-0.99187513363267055</v>
      </c>
      <c r="BM19" s="889">
        <f>IF(ISNUMBER((Datos!P19-Datos!Q19+R19)/(Datos!R19-Datos!P19+Datos!Q19-R19)),(Datos!P19-Datos!Q19+R19)/(Datos!R19-Datos!P19+Datos!Q19-R19)," - ")</f>
        <v>-1.1741682974559687E-3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1973.6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3.2403703492039302</v>
      </c>
      <c r="F21" s="551">
        <f>IF(ISNUMBER(STDEV(F8:F18)),STDEV(F8:F18),"-")</f>
        <v>2611.3552675446772</v>
      </c>
      <c r="G21" s="552">
        <f>IF(ISNUMBER(STDEV(G8:G18)),STDEV(G8:G18),"-")</f>
        <v>2514.1355969796059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2376.7932808723604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554.73442809535959</v>
      </c>
      <c r="BD21" s="551"/>
      <c r="BE21" s="551">
        <f>IF(ISNUMBER(STDEV(BE8:BE18)),STDEV(BE8:BE18),"-")</f>
        <v>0</v>
      </c>
      <c r="BF21" s="556">
        <f>IF(ISNUMBER(STDEV(BF8:BF18)),STDEV(BF8:BF18),"-")</f>
        <v>0</v>
      </c>
      <c r="BG21" s="775">
        <f>IF(ISNUMBER(STDEV(BG8:BG18)),STDEV(BG8:BG18),"-")</f>
        <v>0.24055644094443579</v>
      </c>
      <c r="BH21" s="776">
        <f>IF(ISNUMBER(STDEV(BH8:BH18)),STDEV(BH8:BH18),"-")</f>
        <v>4.3405445271265251</v>
      </c>
      <c r="BI21" s="249">
        <f>IF(ISNUMBER(STDEV(BI8:BI18)),STDEV(BI8:BI18),"-")</f>
        <v>0.11314469667588054</v>
      </c>
      <c r="BJ21" s="230" t="str">
        <f>IF(ISNUMBER(BL21/BM21),BL21/BM21," - ")</f>
        <v xml:space="preserve"> - </v>
      </c>
      <c r="BK21" s="575"/>
      <c r="BL21" s="559">
        <f>IF(ISNUMBER(STDEV(BL8:BL18)),STDEV(BL8:BL18),"-")</f>
        <v>0.50768949298918642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11SQZAr5n0xtmUmjYYyo6BUMI/ZLofb1Avk5jxMdoDdzjOtokxPfUNqJ3Zyc+mAI4+VsbaTkCVv+gn0gOcrMQ==" saltValue="RORdiTT8l67qUqGae9yq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GIPUZKOA  Resumenes por Partidos Judiciales  DONOSTIA-SAN SEBASTIAN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326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491</v>
      </c>
      <c r="AA9" s="332" t="str">
        <f>IF(ISNUMBER(IF(J_V="SI",Datos!L9,Datos!L9+Datos!AB9)-IF(Monitorios="SI",Datos!CD9,0)),
                          IF(J_V="SI",Datos!L9,Datos!L9+Datos!AB9)-IF(Monitorios="SI",Datos!CD9,0),
                          " - ")</f>
        <v xml:space="preserve"> - </v>
      </c>
      <c r="AB9" s="334"/>
      <c r="AC9" s="334"/>
      <c r="AD9" s="484"/>
      <c r="AE9" s="484">
        <f>IF(ISNUMBER(Datos!R9),Datos!R9," - ")</f>
        <v>3707</v>
      </c>
      <c r="AF9" s="229" t="str">
        <f>IF(ISNUMBER(Datos!BV9),Datos!BV9," - ")</f>
        <v xml:space="preserve"> - </v>
      </c>
      <c r="AG9" s="225" t="str">
        <f>IF(ISNUMBER(Datos!DV9),Datos!DV9," - ")</f>
        <v xml:space="preserve"> - </v>
      </c>
      <c r="AH9" s="298"/>
      <c r="AI9" s="227"/>
      <c r="AJ9" s="225">
        <f>IF(ISNUMBER(Datos!M9),Datos!M9," - ")</f>
        <v>1207</v>
      </c>
      <c r="AK9" s="229">
        <f>IF(ISNUMBER(Datos!N9),Datos!N9," - ")</f>
        <v>654</v>
      </c>
      <c r="AL9" s="229" t="str">
        <f>IF(ISNUMBER(Datos!BW9),Datos!BW9," - ")</f>
        <v xml:space="preserve"> - </v>
      </c>
      <c r="AM9" s="228" t="str">
        <f>IF(ISNUMBER(Datos!BX9),Datos!BX9," - ")</f>
        <v xml:space="preserve"> - </v>
      </c>
      <c r="AN9" s="243"/>
      <c r="AO9" s="260">
        <f>IF(ISNUMBER(((NºAsuntos!I9/NºAsuntos!G9)*11)/factor_trimestre),((NºAsuntos!I9/NºAsuntos!G9)*11)/factor_trimestre," - ")</f>
        <v>11.190459238163047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-4.261363636363636E-2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77</v>
      </c>
      <c r="G10" s="225">
        <f>IF(ISNUMBER(Datos!I10),Datos!I10," - ")</f>
        <v>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76</v>
      </c>
      <c r="AB10" s="334"/>
      <c r="AC10" s="334"/>
      <c r="AD10" s="484"/>
      <c r="AE10" s="484">
        <f>IF(ISNUMBER(Datos!R10),Datos!R10," - ")</f>
        <v>71</v>
      </c>
      <c r="AF10" s="229" t="str">
        <f>IF(ISNUMBER(Datos!BV10),Datos!BV10," - ")</f>
        <v xml:space="preserve"> - </v>
      </c>
      <c r="AG10" s="225" t="str">
        <f>IF(ISNUMBER(Datos!DV10),Datos!DV10," - ")</f>
        <v xml:space="preserve"> - </v>
      </c>
      <c r="AH10" s="298"/>
      <c r="AI10" s="227"/>
      <c r="AJ10" s="225">
        <f>IF(ISNUMBER(Datos!M10),Datos!M10," - ")</f>
        <v>21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10.363636363636363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62</v>
      </c>
      <c r="AA11" s="332" t="str">
        <f>IF(ISNUMBER(IF(J_V="SI",Datos!L11,Datos!L11+Datos!AB11)-IF(Monitorios="SI",Datos!CD11,0)),
                          IF(J_V="SI",Datos!L11,Datos!L11+Datos!AB11)-IF(Monitorios="SI",Datos!CD11,0),
                          " - ")</f>
        <v xml:space="preserve"> - </v>
      </c>
      <c r="AB11" s="334"/>
      <c r="AC11" s="334"/>
      <c r="AD11" s="484"/>
      <c r="AE11" s="484">
        <f>IF(ISNUMBER(Datos!R11),Datos!R11," - ")</f>
        <v>459</v>
      </c>
      <c r="AF11" s="229" t="str">
        <f>IF(ISNUMBER(Datos!BV11),Datos!BV11," - ")</f>
        <v xml:space="preserve"> - </v>
      </c>
      <c r="AG11" s="225" t="str">
        <f>IF(ISNUMBER(Datos!DV11),Datos!DV11," - ")</f>
        <v xml:space="preserve"> - </v>
      </c>
      <c r="AH11" s="298"/>
      <c r="AI11" s="227"/>
      <c r="AJ11" s="225">
        <f>IF(ISNUMBER(Datos!M11),Datos!M11," - ")</f>
        <v>174</v>
      </c>
      <c r="AK11" s="229">
        <f>IF(ISNUMBER(Datos!N11),Datos!N11," - ")</f>
        <v>633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2.4918224299065419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-6.1349693251533742E-2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77</v>
      </c>
      <c r="G13" s="898">
        <f>SUBTOTAL(9,G8:G12)</f>
        <v>77</v>
      </c>
      <c r="H13" s="908"/>
      <c r="I13" s="898">
        <f t="shared" ref="I13:N13" si="0">SUBTOTAL(9,I8:I12)</f>
        <v>0</v>
      </c>
      <c r="J13" s="867">
        <f t="shared" si="0"/>
        <v>0</v>
      </c>
      <c r="K13" s="908">
        <f t="shared" si="0"/>
        <v>0</v>
      </c>
      <c r="L13" s="908">
        <f t="shared" si="0"/>
        <v>0</v>
      </c>
      <c r="M13" s="908">
        <f t="shared" si="0"/>
        <v>0</v>
      </c>
      <c r="N13" s="908">
        <f t="shared" si="0"/>
        <v>358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553</v>
      </c>
      <c r="AA13" s="900">
        <f t="shared" si="2"/>
        <v>76</v>
      </c>
      <c r="AB13" s="900">
        <f t="shared" si="2"/>
        <v>0</v>
      </c>
      <c r="AC13" s="900">
        <f t="shared" si="2"/>
        <v>0</v>
      </c>
      <c r="AD13" s="900">
        <f t="shared" si="2"/>
        <v>0</v>
      </c>
      <c r="AE13" s="900">
        <f t="shared" si="2"/>
        <v>4237</v>
      </c>
      <c r="AF13" s="908">
        <f t="shared" si="2"/>
        <v>0</v>
      </c>
      <c r="AG13" s="908">
        <f t="shared" si="2"/>
        <v>0</v>
      </c>
      <c r="AH13" s="908">
        <f t="shared" si="2"/>
        <v>0</v>
      </c>
      <c r="AI13" s="908">
        <f t="shared" si="2"/>
        <v>0</v>
      </c>
      <c r="AJ13" s="908">
        <f t="shared" si="2"/>
        <v>1402</v>
      </c>
      <c r="AK13" s="908">
        <f t="shared" si="2"/>
        <v>1287</v>
      </c>
      <c r="AL13" s="908">
        <f t="shared" si="2"/>
        <v>0</v>
      </c>
      <c r="AM13" s="908">
        <f t="shared" si="2"/>
        <v>0</v>
      </c>
      <c r="AN13" s="908">
        <f t="shared" si="2"/>
        <v>0</v>
      </c>
      <c r="AO13" s="904">
        <f>IF(ISNUMBER(((NºAsuntos!I13/NºAsuntos!G13)*11)/factor_trimestre),((NºAsuntos!I13/NºAsuntos!G13)*11)/factor_trimestre," - ")</f>
        <v>9.1659886086248985</v>
      </c>
      <c r="AP13" s="910" t="str">
        <f>IF(ISNUMBER(Datos!CI13/Datos!CJ13),Datos!CI13/Datos!CJ13," - ")</f>
        <v xml:space="preserve"> - </v>
      </c>
      <c r="AQ13" s="928">
        <f t="shared" ref="AQ13:AV13" si="3">SUBTOTAL(9,AQ9:AQ12)</f>
        <v>0</v>
      </c>
      <c r="AR13" s="928">
        <f t="shared" si="3"/>
        <v>-0.1039633296151701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4600</v>
      </c>
      <c r="G15" s="225">
        <f>IF(ISNUMBER(IF(D_I="SI",Datos!I15,Datos!I15+Datos!AC15)),IF(D_I="SI",Datos!I15,Datos!I15+Datos!AC15)," - ")</f>
        <v>4592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392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4288</v>
      </c>
      <c r="Z15" s="619">
        <f>IF(ISNUMBER(Datos!Q15),Datos!Q15," - ")</f>
        <v>202</v>
      </c>
      <c r="AA15" s="332">
        <f>IF(ISNUMBER(IF(D_I="SI",Datos!L15,Datos!L15+Datos!AF15)),IF(D_I="SI",Datos!L15,Datos!L15+Datos!AF15)," - ")</f>
        <v>4333</v>
      </c>
      <c r="AB15" s="334"/>
      <c r="AC15" s="334"/>
      <c r="AD15" s="484"/>
      <c r="AE15" s="484">
        <f>IF(ISNUMBER(Datos!R15),Datos!R15," - ")</f>
        <v>867</v>
      </c>
      <c r="AF15" s="229" t="str">
        <f>IF(ISNUMBER(Datos!BV15),Datos!BV15," - ")</f>
        <v xml:space="preserve"> - </v>
      </c>
      <c r="AG15" s="225"/>
      <c r="AH15" s="298"/>
      <c r="AI15" s="227"/>
      <c r="AJ15" s="225">
        <f>IF(ISNUMBER(Datos!M15),Datos!M15," - ")</f>
        <v>665</v>
      </c>
      <c r="AK15" s="229">
        <f>IF(ISNUMBER(Datos!N15),Datos!N15," - ")</f>
        <v>1980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3.0314832089552244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329</v>
      </c>
      <c r="Z17" s="619">
        <f>IF(ISNUMBER(Datos!Q17),Datos!Q17," - ")</f>
        <v>1</v>
      </c>
      <c r="AA17" s="332">
        <f>IF(ISNUMBER(Datos!L17),Datos!L17,"-")</f>
        <v>252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52</v>
      </c>
      <c r="AK17" s="229">
        <f>IF(ISNUMBER(Datos!N17),Datos!N17," - ")</f>
        <v>194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2.2978723404255317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4600</v>
      </c>
      <c r="G18" s="898">
        <f>SUBTOTAL(9,G15:G17)</f>
        <v>4857</v>
      </c>
      <c r="H18" s="932">
        <f>SUBTOTAL(9,H15:H17)</f>
        <v>0</v>
      </c>
      <c r="I18" s="911">
        <f>SUBTOTAL(9,I15:I17)</f>
        <v>0</v>
      </c>
      <c r="J18" s="867">
        <f>SUBTOTAL(9,J14:J17)</f>
        <v>0</v>
      </c>
      <c r="K18" s="932">
        <f t="shared" ref="K18:S18" si="4">SUBTOTAL(9,K15:K17)</f>
        <v>0</v>
      </c>
      <c r="L18" s="932">
        <f t="shared" si="4"/>
        <v>0</v>
      </c>
      <c r="M18" s="932">
        <f t="shared" si="4"/>
        <v>0</v>
      </c>
      <c r="N18" s="932">
        <f t="shared" si="4"/>
        <v>392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4617</v>
      </c>
      <c r="Z18" s="932">
        <f t="shared" si="5"/>
        <v>203</v>
      </c>
      <c r="AA18" s="932">
        <f t="shared" si="5"/>
        <v>4585</v>
      </c>
      <c r="AB18" s="932">
        <f t="shared" si="5"/>
        <v>0</v>
      </c>
      <c r="AC18" s="932">
        <f t="shared" si="5"/>
        <v>0</v>
      </c>
      <c r="AD18" s="932">
        <f t="shared" si="5"/>
        <v>0</v>
      </c>
      <c r="AE18" s="932">
        <f t="shared" si="5"/>
        <v>867</v>
      </c>
      <c r="AF18" s="932">
        <f t="shared" si="5"/>
        <v>0</v>
      </c>
      <c r="AG18" s="932">
        <f t="shared" si="5"/>
        <v>0</v>
      </c>
      <c r="AH18" s="932">
        <f t="shared" si="5"/>
        <v>0</v>
      </c>
      <c r="AI18" s="932">
        <f t="shared" si="5"/>
        <v>0</v>
      </c>
      <c r="AJ18" s="932">
        <f t="shared" si="5"/>
        <v>717</v>
      </c>
      <c r="AK18" s="932">
        <f t="shared" si="5"/>
        <v>2174</v>
      </c>
      <c r="AL18" s="932">
        <f t="shared" si="5"/>
        <v>0</v>
      </c>
      <c r="AM18" s="932">
        <f t="shared" si="5"/>
        <v>0</v>
      </c>
      <c r="AN18" s="932">
        <f t="shared" si="5"/>
        <v>0</v>
      </c>
      <c r="AO18" s="934">
        <f>IF(ISNUMBER(((NºAsuntos!I18/NºAsuntos!G18)*11)/factor_trimestre),((NºAsuntos!I18/NºAsuntos!G18)*11)/factor_trimestre," - ")</f>
        <v>2.9792072774528919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4677</v>
      </c>
      <c r="G19" s="820">
        <f t="shared" si="7"/>
        <v>4934</v>
      </c>
      <c r="H19" s="821">
        <f t="shared" si="7"/>
        <v>0</v>
      </c>
      <c r="I19" s="820">
        <f t="shared" si="7"/>
        <v>0</v>
      </c>
      <c r="J19" s="822">
        <f t="shared" si="7"/>
        <v>0</v>
      </c>
      <c r="K19" s="820">
        <f t="shared" si="7"/>
        <v>0</v>
      </c>
      <c r="L19" s="823">
        <f t="shared" si="7"/>
        <v>0</v>
      </c>
      <c r="M19" s="820">
        <f t="shared" si="7"/>
        <v>0</v>
      </c>
      <c r="N19" s="821">
        <f t="shared" si="7"/>
        <v>750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4639</v>
      </c>
      <c r="Z19" s="827">
        <f t="shared" si="8"/>
        <v>756</v>
      </c>
      <c r="AA19" s="828">
        <f t="shared" si="8"/>
        <v>4661</v>
      </c>
      <c r="AB19" s="828">
        <f t="shared" si="8"/>
        <v>0</v>
      </c>
      <c r="AC19" s="828">
        <f t="shared" si="8"/>
        <v>0</v>
      </c>
      <c r="AD19" s="829">
        <f t="shared" si="8"/>
        <v>0</v>
      </c>
      <c r="AE19" s="829">
        <f t="shared" si="8"/>
        <v>5104</v>
      </c>
      <c r="AF19" s="830">
        <f t="shared" si="8"/>
        <v>0</v>
      </c>
      <c r="AG19" s="831">
        <f t="shared" si="8"/>
        <v>0</v>
      </c>
      <c r="AH19" s="832">
        <f t="shared" si="8"/>
        <v>0</v>
      </c>
      <c r="AI19" s="830">
        <f t="shared" si="8"/>
        <v>0</v>
      </c>
      <c r="AJ19" s="820">
        <f t="shared" si="8"/>
        <v>2119</v>
      </c>
      <c r="AK19" s="820">
        <f t="shared" si="8"/>
        <v>3461</v>
      </c>
      <c r="AL19" s="820">
        <f t="shared" si="8"/>
        <v>0</v>
      </c>
      <c r="AM19" s="833">
        <f t="shared" si="8"/>
        <v>0</v>
      </c>
      <c r="AN19" s="823">
        <f>IF(ISNUMBER(Datos!K19/Datos!J19),Datos!K19/Datos!J19," - ")</f>
        <v>0.77935510038531741</v>
      </c>
      <c r="AO19" s="823">
        <f>IF(ISNUMBER(FIND("06",Criterios!A8,1)),(IF(ISNUMBER(((Datos!R19/Datos!Q19)*11)/factor_trimestre),((Datos!R19/Datos!Q19)*11)/factor_trimestre," - ")),(IF(ISNUMBER(((Datos!L19/Datos!K19)*11)/factor_trimestre),((Datos!L19/Datos!K19)*11)/factor_trimestre," - ")))</f>
        <v>6.1131928181108508</v>
      </c>
      <c r="AP19" s="834" t="str">
        <f>IF(ISNUMBER(Datos!CI19/Datos!CJ19),Datos!CI19/Datos!CJ19," - ")</f>
        <v xml:space="preserve"> - </v>
      </c>
      <c r="AQ19" s="834">
        <f>IF(OR(ISNUMBER(FIND("01",Criterios!A8,1)),ISNUMBER(FIND("02",Criterios!A8,1)),ISNUMBER(FIND("03",Criterios!A8,1)),ISNUMBER(FIND("04",Criterios!A8,1))),(J19-Y19+K19)/(F19-K19),(I19-Y19+K19)/(F19-K19))</f>
        <v>-0.99187513363267055</v>
      </c>
      <c r="AR19" s="834">
        <f>IF(ISNUMBER((Datos!P19-Datos!Q19+O19)/(Datos!R19-Datos!P19+Datos!Q19-O19)),(Datos!P19-Datos!Q19+O19)/(Datos!R19-Datos!P19+Datos!Q19-O19)," - ")</f>
        <v>-1.1741682974559687E-3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1973.6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2611.3552675446772</v>
      </c>
      <c r="G21" s="552">
        <f>IF(ISNUMBER(STDEV(G8:G18)),STDEV(G8:G18),"-")</f>
        <v>2514.1355969796059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554.73442809535959</v>
      </c>
      <c r="AK21" s="252"/>
      <c r="AL21" s="252">
        <f>IF(ISNUMBER(STDEV(AL8:AL18)),STDEV(AL8:AL18),"-")</f>
        <v>0</v>
      </c>
      <c r="AM21" s="254">
        <f>IF(ISNUMBER(STDEV(AM8:AM18)),STDEV(AM8:AM18),"-")</f>
        <v>0</v>
      </c>
      <c r="AN21" s="539">
        <f>IF(ISNUMBER(STDEV(AN8:AN18)),STDEV(AN8:AN18),"-")</f>
        <v>0</v>
      </c>
      <c r="AO21" s="540">
        <f>IF(ISNUMBER(STDEV(AO8:AO18)),STDEV(AO8:AO18),"-")</f>
        <v>4.0809141752858533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4eI4mQerM9olB09EtBSfuUKygLxLQDwJmI5WVEbDVsdwjPP1GTbb8WPN+4OVFF8tD0MPyBDBgOuBp1+KvJjAQ==" saltValue="cv0/vKBGUZLjXTYdy+xw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fNShwdJLUv06BraG4d3uVrajTa3cGQhLYJmTK4VX1u4YkPRkCBJ57lW5Z9meC/aiCtSYRbNl8QVg9T8vnPwcg==" saltValue="14ZESi7F7KJU6lYLkWPt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IP7ISneIyyvbXaLUNeCHvNn7Y7blx+HRivFQAR19IHQGTxrkti9ROH5wWyfHcn9PFPywByC8XJiu/VXKHfTQ==" saltValue="vnsRPWKpahGqSQqNVlvy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GIPUZKOA  Resumenes por Partidos Judiciales  DONOSTIA-SAN SEBASTIAN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0.38025494982370489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0.26888085360009212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EFzjmBisbBcFTZDiLijVDAfUEdmiDVic4RszEPTg9wzVDNEJKBQM2QX3Bzn69s27Z9MQ/DI95jV4hHBNz+SVw==" saltValue="TxeOPP9TrrkOtBPFkisV3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QLTxz3I/c5ZxdTOCpf2mA1JN+86BjFPEeP88r6wdBDihDJEHIuqQ9Y3bVd/B4KOjrZR03bXW2/tKilOJj3Q4w==" saltValue="E8w5XBtgmTqw5IhWbdui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GIPUZKOA</v>
      </c>
      <c r="D3" s="375"/>
      <c r="E3" s="375"/>
      <c r="F3" s="375"/>
    </row>
    <row r="4" spans="1:14" ht="13.5" thickBot="1">
      <c r="A4" s="375"/>
      <c r="B4" s="391" t="str">
        <f>Criterios!A11 &amp;"  "&amp;Criterios!B11</f>
        <v>Resumenes por Partidos Judiciales  DONOSTIA-SAN SEBASTIAN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8047</v>
      </c>
      <c r="D9" s="404">
        <f>IF(ISNUMBER(C9/Datos!BH9),C9/Datos!BH9," - ")</f>
        <v>1341.1666666666667</v>
      </c>
      <c r="E9" s="403">
        <f>IF(ISNUMBER(IF(J_V="SI",Datos!J9,Datos!J9+Datos!Z9)),IF(J_V="SI",Datos!J9,Datos!J9+Datos!Z9)," - ")</f>
        <v>5240</v>
      </c>
      <c r="F9" s="404">
        <f>IF(ISNUMBER(E9/B9),E9/B9," - ")</f>
        <v>873.33333333333337</v>
      </c>
      <c r="G9" s="403">
        <f>IF(ISNUMBER(IF(J_V="SI",Datos!K9,Datos!K9+Datos!AA9)),IF(J_V="SI",Datos!K9,Datos!K9+Datos!AA9)," - ")</f>
        <v>2809</v>
      </c>
      <c r="H9" s="404">
        <f>IF(ISNUMBER(G9/B9),G9/B9," - ")</f>
        <v>468.16666666666669</v>
      </c>
      <c r="I9" s="403">
        <f>IF(ISNUMBER(IF(J_V="SI",Datos!L9,Datos!L9+Datos!AB9)),IF(J_V="SI",Datos!L9,Datos!L9+Datos!AB9)," - ")</f>
        <v>10478</v>
      </c>
      <c r="J9" s="404">
        <f>IF(ISNUMBER(I9/B9),I9/B9," - ")</f>
        <v>1746.3333333333333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77</v>
      </c>
      <c r="D10" s="404">
        <f>IF(ISNUMBER(C10/Datos!BH10),C10/Datos!BH10," - ")</f>
        <v>77</v>
      </c>
      <c r="E10" s="403">
        <f>IF(ISNUMBER(Datos!J10),Datos!J10," - ")</f>
        <v>21</v>
      </c>
      <c r="F10" s="404">
        <f>IF(ISNUMBER(E10/B10),E10/B10," - ")</f>
        <v>21</v>
      </c>
      <c r="G10" s="403">
        <f>IF(ISNUMBER(Datos!K10),Datos!K10," - ")</f>
        <v>22</v>
      </c>
      <c r="H10" s="404">
        <f>IF(ISNUMBER(G10/B10),G10/B10," - ")</f>
        <v>22</v>
      </c>
      <c r="I10" s="403">
        <f>IF(ISNUMBER(Datos!L10),Datos!L10," - ")</f>
        <v>76</v>
      </c>
      <c r="J10" s="404">
        <f>IF(ISNUMBER(I10/B10),I10/B10," - ")</f>
        <v>76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634</v>
      </c>
      <c r="D11" s="404">
        <f>IF(ISNUMBER(C11/Datos!BH11),C11/Datos!BH11," - ")</f>
        <v>317</v>
      </c>
      <c r="E11" s="403">
        <f>IF(ISNUMBER(IF(J_V="SI",Datos!J11,Datos!J11+Datos!Z11)),IF(J_V="SI",Datos!J11,Datos!J11+Datos!Z11)," - ")</f>
        <v>933</v>
      </c>
      <c r="F11" s="404">
        <f>IF(ISNUMBER(E11/B11),E11/B11," - ")</f>
        <v>466.5</v>
      </c>
      <c r="G11" s="403">
        <f>IF(ISNUMBER(IF(J_V="SI",Datos!K11,Datos!K11+Datos!AA11)),IF(J_V="SI",Datos!K11,Datos!K11+Datos!AA11)," - ")</f>
        <v>856</v>
      </c>
      <c r="H11" s="404">
        <f>IF(ISNUMBER(G11/B11),G11/B11," - ")</f>
        <v>428</v>
      </c>
      <c r="I11" s="403">
        <f>IF(ISNUMBER(IF(J_V="SI",Datos!L11,Datos!L11+Datos!AB11)),IF(J_V="SI",Datos!L11,Datos!L11+Datos!AB11)," - ")</f>
        <v>711</v>
      </c>
      <c r="J11" s="404">
        <f>IF(ISNUMBER(I11/B11),I11/B11," - ")</f>
        <v>355.5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8758</v>
      </c>
      <c r="D13" s="850" t="str">
        <f>IF(ISNUMBER(C13/Datos!BI13),C13/Datos!BI13," - ")</f>
        <v xml:space="preserve"> - </v>
      </c>
      <c r="E13" s="849">
        <f>SUBTOTAL(9,E8:E12)</f>
        <v>6194</v>
      </c>
      <c r="F13" s="850">
        <f>IF(ISNUMBER(E13/B13),E13/B13," - ")</f>
        <v>688.22222222222217</v>
      </c>
      <c r="G13" s="849">
        <f>SUBTOTAL(9,G8:G12)</f>
        <v>3687</v>
      </c>
      <c r="H13" s="850">
        <f>IF(ISNUMBER(G13/B13),G13/B13," - ")</f>
        <v>409.66666666666669</v>
      </c>
      <c r="I13" s="849">
        <f>SUBTOTAL(9,I8:I12)</f>
        <v>11265</v>
      </c>
      <c r="J13" s="850">
        <f>IF(ISNUMBER(I13/B13),I13/B13," - ")</f>
        <v>1251.6666666666667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4592</v>
      </c>
      <c r="D15" s="404">
        <f>IF(ISNUMBER(C15/Datos!BH15),C15/Datos!BH15," - ")</f>
        <v>918.4</v>
      </c>
      <c r="E15" s="403">
        <f>IF(ISNUMBER(IF(D_I="SI",Datos!J15,Datos!J15+Datos!AD15)),IF(D_I="SI",Datos!J15,Datos!J15+Datos!AD15)," - ")</f>
        <v>4021</v>
      </c>
      <c r="F15" s="404">
        <f>IF(ISNUMBER(E15/B15),E15/B15," - ")</f>
        <v>804.2</v>
      </c>
      <c r="G15" s="403">
        <f>IF(ISNUMBER(IF(D_I="SI",Datos!K15,Datos!K15+Datos!AE15)),IF(D_I="SI",Datos!K15,Datos!K15+Datos!AE15)," - ")</f>
        <v>4288</v>
      </c>
      <c r="H15" s="404">
        <f>IF(ISNUMBER(G15/B15),G15/B15," - ")</f>
        <v>857.6</v>
      </c>
      <c r="I15" s="403">
        <f>IF(ISNUMBER(IF(D_I="SI",Datos!L15,Datos!L15+Datos!AF15)),IF(D_I="SI",Datos!L15,Datos!L15+Datos!AF15)," - ")</f>
        <v>4333</v>
      </c>
      <c r="J15" s="404">
        <f>IF(ISNUMBER(I15/B15),I15/B15," - ")</f>
        <v>866.6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265</v>
      </c>
      <c r="D17" s="404">
        <f>IF(ISNUMBER(C17/Datos!BH17),C17/Datos!BH17," - ")</f>
        <v>265</v>
      </c>
      <c r="E17" s="403">
        <f>IF(ISNUMBER(IF(D_I="SI",Datos!J17,Datos!J17+Datos!AD17)),IF(D_I="SI",Datos!J17,Datos!J17+Datos!AD17)," - ")</f>
        <v>316</v>
      </c>
      <c r="F17" s="404">
        <f>IF(ISNUMBER(E17/B17),E17/B17," - ")</f>
        <v>316</v>
      </c>
      <c r="G17" s="403">
        <f>IF(ISNUMBER(IF(D_I="SI",Datos!K17,Datos!K17+Datos!AE17)),IF(D_I="SI",Datos!K17,Datos!K17+Datos!AE17)," - ")</f>
        <v>329</v>
      </c>
      <c r="H17" s="404">
        <f>IF(ISNUMBER(G17/B17),G17/B17," - ")</f>
        <v>329</v>
      </c>
      <c r="I17" s="403">
        <f>IF(ISNUMBER(IF(D_I="SI",Datos!L17,Datos!L17+Datos!AF17)),IF(D_I="SI",Datos!L17,Datos!L17+Datos!AF17)," - ")</f>
        <v>252</v>
      </c>
      <c r="J17" s="404">
        <f>IF(ISNUMBER(I17/B17),I17/B17," - ")</f>
        <v>252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4857</v>
      </c>
      <c r="D18" s="850" t="str">
        <f>IF(ISNUMBER(C18/Datos!BI18),C18/Datos!BI18," - ")</f>
        <v xml:space="preserve"> - </v>
      </c>
      <c r="E18" s="849">
        <f>SUBTOTAL(9,E14:E17)</f>
        <v>4337</v>
      </c>
      <c r="F18" s="850">
        <f>IF(ISNUMBER(E18/B18),E18/B18," - ")</f>
        <v>722.83333333333337</v>
      </c>
      <c r="G18" s="849">
        <f>SUBTOTAL(9,G14:G17)</f>
        <v>4617</v>
      </c>
      <c r="H18" s="850">
        <f>IF(ISNUMBER(G18/B18),G18/B18," - ")</f>
        <v>769.5</v>
      </c>
      <c r="I18" s="849">
        <f>SUBTOTAL(9,I14:I17)</f>
        <v>4585</v>
      </c>
      <c r="J18" s="850">
        <f>IF(ISNUMBER(I18/B18),I18/B18," - ")</f>
        <v>764.16666666666663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13615</v>
      </c>
      <c r="D19" s="795" t="str">
        <f>IF(ISNUMBER(C19/Datos!BI19),C19/Datos!BI19," - ")</f>
        <v xml:space="preserve"> - </v>
      </c>
      <c r="E19" s="794">
        <f>SUBTOTAL(9,E9:E18)</f>
        <v>10531</v>
      </c>
      <c r="F19" s="795">
        <f>IF(ISNUMBER(E19/B19),E19/B19," - ")</f>
        <v>752.21428571428567</v>
      </c>
      <c r="G19" s="794">
        <f>SUBTOTAL(9,G9:G18)</f>
        <v>8304</v>
      </c>
      <c r="H19" s="795">
        <f>IF(ISNUMBER(G19/B19),G19/B19," - ")</f>
        <v>593.14285714285711</v>
      </c>
      <c r="I19" s="794">
        <f>SUBTOTAL(9,I9:I18)</f>
        <v>15850</v>
      </c>
      <c r="J19" s="795">
        <f>IF(ISNUMBER(I19/B19),I19/B19," - ")</f>
        <v>1132.1428571428571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UVeTLRl1XWnkuNsoa+f3f3Gw3/X5em1dZBWj4sFvR0okZzRiZuE3LCSDNqfr6R+eD2TcgqA0abU3KFZkQK8wA==" saltValue="DYg2/TDG/L2M2ubBEv9I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GIPUZKOA  Resumenes por Partidos Judiciales  DONOSTIA-SAN SEBASTIAN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77</v>
      </c>
      <c r="G10" s="684">
        <f>IF(ISNUMBER(Datos!I10),Datos!I10," - ")</f>
        <v>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76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10.363636363636363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77</v>
      </c>
      <c r="G13" s="938">
        <f t="shared" si="0"/>
        <v>77</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76</v>
      </c>
      <c r="AG13" s="939">
        <f t="shared" si="1"/>
        <v>0</v>
      </c>
      <c r="AH13" s="939">
        <f t="shared" si="1"/>
        <v>0</v>
      </c>
      <c r="AI13" s="939">
        <f t="shared" si="1"/>
        <v>0</v>
      </c>
      <c r="AJ13" s="939">
        <f t="shared" si="1"/>
        <v>0</v>
      </c>
      <c r="AK13" s="939">
        <f t="shared" si="1"/>
        <v>0</v>
      </c>
      <c r="AL13" s="939">
        <f t="shared" si="1"/>
        <v>21</v>
      </c>
      <c r="AM13" s="939">
        <f t="shared" si="1"/>
        <v>0</v>
      </c>
      <c r="AN13" s="939">
        <f t="shared" si="1"/>
        <v>0</v>
      </c>
      <c r="AO13" s="939">
        <f t="shared" si="1"/>
        <v>0</v>
      </c>
      <c r="AP13" s="944">
        <f>IF(ISNUMBER(((Datos!L13/Datos!K13)*11)/factor_trimestre),((Datos!L13/Datos!K13)*11)/factor_trimestre," - ")</f>
        <v>10.827956989247314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2.9792072774528919</v>
      </c>
      <c r="AQ18" s="944">
        <f>IF(ISNUMBER(((Datos!M18/Datos!L18)*11)/factor_trimestre),((Datos!M18/Datos!L18)*11)/factor_trimestre," - ")</f>
        <v>0.46913849509269356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0.27876106194690264</v>
      </c>
      <c r="AW18" s="946">
        <f>IF(ISNUMBER((Datos!Q18-Datos!R18)/(Datos!S18-Datos!Q18+Datos!R18)),(Datos!Q18-Datos!R18)/(Datos!S18-Datos!Q18+Datos!R18)," - ")</f>
        <v>-0.12633181126331811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77</v>
      </c>
      <c r="G19" s="951">
        <f t="shared" si="4"/>
        <v>77</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76</v>
      </c>
      <c r="AG19" s="958">
        <f t="shared" si="5"/>
        <v>0</v>
      </c>
      <c r="AH19" s="958">
        <f t="shared" si="5"/>
        <v>0</v>
      </c>
      <c r="AI19" s="958">
        <f t="shared" si="5"/>
        <v>0</v>
      </c>
      <c r="AJ19" s="959">
        <f t="shared" si="5"/>
        <v>0</v>
      </c>
      <c r="AK19" s="959">
        <f t="shared" si="5"/>
        <v>0</v>
      </c>
      <c r="AL19" s="951">
        <f t="shared" si="5"/>
        <v>21</v>
      </c>
      <c r="AM19" s="951">
        <f t="shared" si="5"/>
        <v>0</v>
      </c>
      <c r="AN19" s="951">
        <f t="shared" si="5"/>
        <v>0</v>
      </c>
      <c r="AO19" s="951">
        <f t="shared" si="5"/>
        <v>0</v>
      </c>
      <c r="AP19" s="951">
        <f>IF(ISNUMBER(((Datos!L19/Datos!K19)*11)/factor_trimestre),((Datos!L19/Datos!K19)*11)/factor_trimestre," - ")</f>
        <v>6.1131928181108508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-1.1741682974559687E-3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3.687817782917155</v>
      </c>
      <c r="F21" s="736">
        <f>IF(ISNUMBER(STDEV(F8:F18)),STDEV(F8:F18),"-")</f>
        <v>44.455970727601184</v>
      </c>
      <c r="G21" s="737">
        <f>IF(ISNUMBER(STDEV(G8:G18)),STDEV(G8:G18),"-")</f>
        <v>44.455970727601184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4.4035640605202397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52HIhVuA9tR9Afyl7oHdtBycz+pCHuEDo0G6spGTeUeAJ+65WqK8oDZnxJ/iNrAEu6wrO1YSzN9eoEmTd+IQ==" saltValue="YvZXi3A3Tqj5YdYjJOOr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DONOSTIA-SAN SEBASTIAN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FrTwxtZIZoq014N0BmlOGEWV/FOjPIz9aCg2nrrQoGRP19hqMO8vqWokLCYyFLkSA4+8PesAvn+I9ASnMS7gg==" saltValue="vnlxLuZjbtcWyF5SXXrO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GIPUZKOA</v>
      </c>
      <c r="C3" s="391"/>
      <c r="D3" s="425"/>
    </row>
    <row r="4" spans="1:9" ht="13.5" thickBot="1">
      <c r="B4" s="391" t="str">
        <f>Criterios!A11 &amp;"  "&amp;Criterios!B11</f>
        <v>Resumenes por Partidos Judiciales  DONOSTIA-SAN SEBASTIAN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1207</v>
      </c>
      <c r="E9" s="404">
        <f t="shared" ref="E9:E13" si="0">IF(ISNUMBER(D9/B9),D9/B9," - ")</f>
        <v>201.16666666666666</v>
      </c>
      <c r="F9" s="403">
        <f>IF(ISNUMBER(Datos!N9),Datos!N9," - ")</f>
        <v>654</v>
      </c>
      <c r="G9" s="404">
        <f t="shared" ref="G9:G13" si="1">IF(ISNUMBER(F9/B9),F9/B9," - ")</f>
        <v>109</v>
      </c>
      <c r="H9" s="403">
        <f>IF(ISNUMBER(Datos!O9),Datos!O9," - ")</f>
        <v>902</v>
      </c>
      <c r="I9" s="404">
        <f>IF(ISNUMBER(H9/B9),H9/B9," - ")</f>
        <v>150.33333333333334</v>
      </c>
    </row>
    <row r="10" spans="1:9">
      <c r="A10" s="402" t="str">
        <f>Datos!A10</f>
        <v>Jdos. Violencia contra la mujer</v>
      </c>
      <c r="B10" s="427">
        <f>Datos!AO10</f>
        <v>1</v>
      </c>
      <c r="C10" s="410">
        <f>Datos!AQ10</f>
        <v>1</v>
      </c>
      <c r="D10" s="403">
        <f>IF(ISNUMBER(Datos!M10),Datos!M10," - ")</f>
        <v>21</v>
      </c>
      <c r="E10" s="404">
        <f>IF(ISNUMBER(D10/B10),D10/B10," - ")</f>
        <v>21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2</v>
      </c>
      <c r="C11" s="410">
        <f>Datos!AQ11</f>
        <v>2</v>
      </c>
      <c r="D11" s="403">
        <f>IF(ISNUMBER(Datos!M11),Datos!M11," - ")</f>
        <v>174</v>
      </c>
      <c r="E11" s="404">
        <f t="shared" si="0"/>
        <v>87</v>
      </c>
      <c r="F11" s="403">
        <f>IF(ISNUMBER(Datos!N11),Datos!N11," - ")</f>
        <v>633</v>
      </c>
      <c r="G11" s="404">
        <f t="shared" si="1"/>
        <v>316.5</v>
      </c>
      <c r="H11" s="403">
        <f>IF(ISNUMBER(Datos!O11),Datos!O11," - ")</f>
        <v>113</v>
      </c>
      <c r="I11" s="404">
        <f t="shared" si="2"/>
        <v>56.5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9</v>
      </c>
      <c r="C13" s="851">
        <f>Datos!AR13</f>
        <v>9</v>
      </c>
      <c r="D13" s="849">
        <f>SUBTOTAL(9,D9:D12)</f>
        <v>1402</v>
      </c>
      <c r="E13" s="850">
        <f t="shared" si="0"/>
        <v>155.77777777777777</v>
      </c>
      <c r="F13" s="849">
        <f>SUBTOTAL(9,F9:F12)</f>
        <v>1287</v>
      </c>
      <c r="G13" s="850">
        <f t="shared" si="1"/>
        <v>143</v>
      </c>
      <c r="H13" s="849">
        <f>SUBTOTAL(9,H9:H12)</f>
        <v>1015</v>
      </c>
      <c r="I13" s="850">
        <f>IF(ISNUMBER(H13/B13),H13/B13," - ")</f>
        <v>112.77777777777777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665</v>
      </c>
      <c r="E15" s="404">
        <f t="shared" ref="E15:E18" si="3">IF(ISNUMBER(D15/B15),D15/B15," - ")</f>
        <v>133</v>
      </c>
      <c r="F15" s="403">
        <f>IF(ISNUMBER(Datos!N15),Datos!N15," - ")</f>
        <v>1980</v>
      </c>
      <c r="G15" s="404">
        <f t="shared" ref="G15:G18" si="4">IF(ISNUMBER(F15/B15),F15/B15," - ")</f>
        <v>396</v>
      </c>
      <c r="H15" s="403">
        <f>IF(ISNUMBER(Datos!O15),Datos!O15," - ")</f>
        <v>0</v>
      </c>
      <c r="I15" s="404">
        <f t="shared" ref="I15:I17" si="5">IF(ISNUMBER(H15/B15),H15/B15," - ")</f>
        <v>0</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52</v>
      </c>
      <c r="E17" s="404">
        <f>IF(ISNUMBER(D17/B17),D17/B17," - ")</f>
        <v>52</v>
      </c>
      <c r="F17" s="403">
        <f>IF(ISNUMBER(Datos!N17),Datos!N17," - ")</f>
        <v>194</v>
      </c>
      <c r="G17" s="404">
        <f>IF(ISNUMBER(F17/B17),F17/B17," - ")</f>
        <v>194</v>
      </c>
      <c r="H17" s="403">
        <f>IF(ISNUMBER(Datos!O17),Datos!O17," - ")</f>
        <v>0</v>
      </c>
      <c r="I17" s="404">
        <f t="shared" si="5"/>
        <v>0</v>
      </c>
    </row>
    <row r="18" spans="1:9" ht="14.25" thickTop="1" thickBot="1">
      <c r="A18" s="848" t="str">
        <f>Datos!A18</f>
        <v>TOTAL</v>
      </c>
      <c r="B18" s="849">
        <f>Datos!AO18</f>
        <v>6</v>
      </c>
      <c r="C18" s="851">
        <f>Datos!AR18</f>
        <v>6</v>
      </c>
      <c r="D18" s="849">
        <f>SUBTOTAL(9,D15:D17)</f>
        <v>717</v>
      </c>
      <c r="E18" s="850">
        <f t="shared" si="3"/>
        <v>119.5</v>
      </c>
      <c r="F18" s="849">
        <f>SUBTOTAL(9,F15:F17)</f>
        <v>2174</v>
      </c>
      <c r="G18" s="850">
        <f t="shared" si="4"/>
        <v>362.33333333333331</v>
      </c>
      <c r="H18" s="849">
        <f>SUBTOTAL(9,H15:H17)</f>
        <v>0</v>
      </c>
      <c r="I18" s="850">
        <f>IF(ISNUMBER(H18/B18),H18/B18," - ")</f>
        <v>0</v>
      </c>
    </row>
    <row r="19" spans="1:9" ht="14.25" thickTop="1" thickBot="1">
      <c r="A19" s="793" t="str">
        <f>Datos!A19</f>
        <v>TOTAL JURISDICCIONES</v>
      </c>
      <c r="B19" s="794">
        <f>Datos!AP19</f>
        <v>14</v>
      </c>
      <c r="C19" s="794">
        <f>Datos!AR19</f>
        <v>14</v>
      </c>
      <c r="D19" s="794">
        <f>SUBTOTAL(9,D8:D18)</f>
        <v>2119</v>
      </c>
      <c r="E19" s="795">
        <f>IF(ISNUMBER(D19/B19),D19/B19," - ")</f>
        <v>151.35714285714286</v>
      </c>
      <c r="F19" s="794">
        <f>SUBTOTAL(9,F8:F18)</f>
        <v>3461</v>
      </c>
      <c r="G19" s="795">
        <f>IF(ISNUMBER(F19/B19),F19/B19," - ")</f>
        <v>247.21428571428572</v>
      </c>
      <c r="H19" s="794">
        <f>SUBTOTAL(9,H8:H18)</f>
        <v>1015</v>
      </c>
      <c r="I19" s="795">
        <f>IF(ISNUMBER(H19/B19),H19/B19," - ")</f>
        <v>72.5</v>
      </c>
    </row>
    <row r="22" spans="1:9">
      <c r="A22" s="391" t="str">
        <f>Criterios!A4</f>
        <v>Fecha Informe: 29 may. 2024</v>
      </c>
    </row>
    <row r="27" spans="1:9">
      <c r="A27" s="414"/>
    </row>
  </sheetData>
  <sheetProtection algorithmName="SHA-512" hashValue="ExVD3Y10t5ykptACM+kVbZrOarR9eFif5Smv7lQ3tBzBvdMHztu53KNaiaBylQQjRFgAYLaS8CUsH4uzE/1cSQ==" saltValue="QzJGAScV3wflQB3HRCDj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DONOSTIA-SAN SEBASTIAN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326</v>
      </c>
      <c r="C9" s="434">
        <f>IF(ISNUMBER(Datos!Q9),Datos!Q9," - ")</f>
        <v>491</v>
      </c>
      <c r="D9" s="408">
        <f>IF(ISNUMBER(Datos!R9),Datos!R9," - ")</f>
        <v>3707</v>
      </c>
    </row>
    <row r="10" spans="1:4">
      <c r="A10" s="402" t="str">
        <f>Datos!A10</f>
        <v>Jdos. Violencia contra la mujer</v>
      </c>
      <c r="B10" s="433">
        <f>IF(ISNUMBER(Datos!P10),Datos!P10," - ")</f>
        <v>0</v>
      </c>
      <c r="C10" s="434">
        <f>IF(ISNUMBER(Datos!Q10),Datos!Q10," - ")</f>
        <v>0</v>
      </c>
      <c r="D10" s="408">
        <f>IF(ISNUMBER(Datos!R10),Datos!R10," - ")</f>
        <v>71</v>
      </c>
    </row>
    <row r="11" spans="1:4">
      <c r="A11" s="402" t="str">
        <f>Datos!A11</f>
        <v xml:space="preserve">Jdos. Familia                                   </v>
      </c>
      <c r="B11" s="433">
        <f>IF(ISNUMBER(Datos!P11),Datos!P11," - ")</f>
        <v>32</v>
      </c>
      <c r="C11" s="434">
        <f>IF(ISNUMBER(Datos!Q11),Datos!Q11," - ")</f>
        <v>62</v>
      </c>
      <c r="D11" s="408">
        <f>IF(ISNUMBER(Datos!R11),Datos!R11," - ")</f>
        <v>459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358</v>
      </c>
      <c r="C13" s="853">
        <f>SUBTOTAL(9,C9:C12)</f>
        <v>553</v>
      </c>
      <c r="D13" s="851">
        <f>SUBTOTAL(9,D9:D12)</f>
        <v>4237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392</v>
      </c>
      <c r="C15" s="434">
        <f>IF(ISNUMBER(Datos!Q15),Datos!Q15," - ")</f>
        <v>202</v>
      </c>
      <c r="D15" s="408">
        <f>IF(ISNUMBER(Datos!R15),Datos!R15," - ")</f>
        <v>867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392</v>
      </c>
      <c r="C18" s="853">
        <f>SUBTOTAL(9,C15:C17)</f>
        <v>203</v>
      </c>
      <c r="D18" s="851">
        <f>SUBTOTAL(9,D15:D17)</f>
        <v>867</v>
      </c>
    </row>
    <row r="19" spans="1:4" ht="16.5" customHeight="1" thickTop="1" thickBot="1">
      <c r="A19" s="793" t="str">
        <f>Datos!A19</f>
        <v>TOTAL JURISDICCIONES</v>
      </c>
      <c r="B19" s="798">
        <f>SUBTOTAL(9,B8:B18)</f>
        <v>750</v>
      </c>
      <c r="C19" s="799">
        <f>SUBTOTAL(9,C8:C18)</f>
        <v>756</v>
      </c>
      <c r="D19" s="800">
        <f>SUBTOTAL(9,D8:D18)</f>
        <v>5104</v>
      </c>
    </row>
    <row r="20" spans="1:4" ht="7.5" customHeight="1"/>
    <row r="21" spans="1:4" ht="6" customHeight="1"/>
    <row r="22" spans="1:4">
      <c r="A22" s="391" t="str">
        <f>Criterios!A4</f>
        <v>Fecha Informe: 29 may. 2024</v>
      </c>
    </row>
    <row r="27" spans="1:4">
      <c r="A27" s="414"/>
    </row>
  </sheetData>
  <sheetProtection algorithmName="SHA-512" hashValue="1Gf4mBWz7/dEObZlgVQkwG3kex0Pmj8tl4yjW4IXSWTmBpgg/z95RNlGgZulSFkj848D7cAL6a397cpxhv7OAA==" saltValue="kO1HmPSCwr977r45aQzJ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DONOSTIA-SAN SEBASTIAN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0.17013232514177692</v>
      </c>
      <c r="C9" s="456">
        <f>IF(ISNUMBER(
   IF(J_V="SI",(Datos!J9-Datos!T9)/Datos!T9,(Datos!J9+Datos!Z9-(Datos!T9+Datos!AH9))/(Datos!T9+Datos!AH9))
     ),IF(J_V="SI",(Datos!J9-Datos!T9)/Datos!T9,(Datos!J9+Datos!Z9-(Datos!T9+Datos!AH9))/(Datos!T9+Datos!AH9))," - ")</f>
        <v>1.4394785847299814</v>
      </c>
      <c r="D9" s="456">
        <f>IF(ISNUMBER(
   IF(J_V="SI",(Datos!K9-Datos!U9)/Datos!U9,(Datos!K9+Datos!AA9-(Datos!U9+Datos!AI9))/(Datos!U9+Datos!AI9))
     ),IF(J_V="SI",(Datos!K9-Datos!U9)/Datos!U9,(Datos!K9+Datos!AA9-(Datos!U9+Datos!AI9))/(Datos!U9+Datos!AI9))," - ")</f>
        <v>9.8552991787250688E-2</v>
      </c>
      <c r="E9" s="456">
        <f>IF(ISNUMBER(
   IF(J_V="SI",(Datos!L9-Datos!V9)/Datos!V9,(Datos!L9+Datos!AB9-(Datos!V9+Datos!AJ9))/(Datos!V9+Datos!AJ9))
     ),IF(J_V="SI",(Datos!L9-Datos!V9)/Datos!V9,(Datos!L9+Datos!AB9-(Datos!V9+Datos!AJ9))/(Datos!V9+Datos!AJ9))," - ")</f>
        <v>0.61997526283240567</v>
      </c>
      <c r="F9" s="456">
        <f>IF(ISNUMBER((Datos!M9-Datos!W9)/Datos!W9),(Datos!M9-Datos!W9)/Datos!W9," - ")</f>
        <v>5.5069930069930072E-2</v>
      </c>
      <c r="G9" s="457">
        <f>IF(ISNUMBER((Datos!N9-Datos!X9)/Datos!X9),(Datos!N9-Datos!X9)/Datos!X9," - ")</f>
        <v>-3.111111111111111E-2</v>
      </c>
      <c r="H9" s="455">
        <f>IF(ISNUMBER(((NºAsuntos!G9/NºAsuntos!E9)-Datos!BD9)/Datos!BD9),((NºAsuntos!G9/NºAsuntos!E9)-Datos!BD9)/Datos!BD9," - ")</f>
        <v>-0.54967713237423388</v>
      </c>
      <c r="I9" s="456">
        <f>IF(ISNUMBER(((NºAsuntos!I9/NºAsuntos!G9)-Datos!BE9)/Datos!BE9),((NºAsuntos!I9/NºAsuntos!G9)-Datos!BE9)/Datos!BE9," - ")</f>
        <v>0.47464462337574254</v>
      </c>
      <c r="J9" s="461">
        <f>IF(ISNUMBER((('Resol  Asuntos'!D9/NºAsuntos!G9)-Datos!BF9)/Datos!BF9),(('Resol  Asuntos'!D9/NºAsuntos!G9)-Datos!BF9)/Datos!BF9," - ")</f>
        <v>0.62773044315230153</v>
      </c>
      <c r="K9" s="462">
        <f>IF(ISNUMBER((((NºAsuntos!C9+NºAsuntos!E9)/NºAsuntos!G9)-Datos!BG9)/Datos!BG9),(((NºAsuntos!C9+NºAsuntos!E9)/NºAsuntos!G9)-Datos!BG9)/Datos!BG9," - ")</f>
        <v>0.34016636276945195</v>
      </c>
    </row>
    <row r="10" spans="1:11">
      <c r="A10" s="402" t="str">
        <f>Datos!A10</f>
        <v>Jdos. Violencia contra la mujer</v>
      </c>
      <c r="B10" s="455">
        <f>IF(ISNUMBER((Datos!I10-Datos!S10)/Datos!S10),(Datos!I10-Datos!S10)/Datos!S10," - ")</f>
        <v>0.42592592592592593</v>
      </c>
      <c r="C10" s="456">
        <f>IF(ISNUMBER((Datos!J10-Datos!T10)/Datos!T10),(Datos!J10-Datos!T10)/Datos!T10," - ")</f>
        <v>-0.55319148936170215</v>
      </c>
      <c r="D10" s="456">
        <f>IF(ISNUMBER((Datos!K10-Datos!U10)/Datos!U10),(Datos!K10-Datos!U10)/Datos!U10," - ")</f>
        <v>-0.45</v>
      </c>
      <c r="E10" s="456">
        <f>IF(ISNUMBER((Datos!L10-Datos!V10)/Datos!V10),(Datos!L10-Datos!V10)/Datos!V10," - ")</f>
        <v>0.24590163934426229</v>
      </c>
      <c r="F10" s="456">
        <f>IF(ISNUMBER((Datos!M10-Datos!W10)/Datos!W10),(Datos!M10-Datos!W10)/Datos!W10," - ")</f>
        <v>-8.6956521739130432E-2</v>
      </c>
      <c r="G10" s="457">
        <f>IF(ISNUMBER((Datos!N10-Datos!X10)/Datos!X10),(Datos!N10-Datos!X10)/Datos!X10," - ")</f>
        <v>-1</v>
      </c>
      <c r="H10" s="455">
        <f>IF(ISNUMBER(((NºAsuntos!G10/NºAsuntos!E10)-Datos!BD10)/Datos!BD10),((NºAsuntos!G10/NºAsuntos!E10)-Datos!BD10)/Datos!BD10," - ")</f>
        <v>0.23095238095238099</v>
      </c>
      <c r="I10" s="456">
        <f>IF(ISNUMBER(((NºAsuntos!I10/NºAsuntos!G10)-Datos!BE10)/Datos!BE10),((NºAsuntos!I10/NºAsuntos!G10)-Datos!BE10)/Datos!BE10," - ")</f>
        <v>1.265275707898659</v>
      </c>
      <c r="J10" s="461">
        <f>IF(ISNUMBER((('Resol  Asuntos'!D10/NºAsuntos!G10)-Datos!BF10)/Datos!BF10),(('Resol  Asuntos'!D10/NºAsuntos!G10)-Datos!BF10)/Datos!BF10," - ")</f>
        <v>0.6600790513833994</v>
      </c>
      <c r="K10" s="462">
        <f>IF(ISNUMBER((((NºAsuntos!C10+NºAsuntos!E10)/NºAsuntos!G10)-Datos!BG10)/Datos!BG10),(((NºAsuntos!C10+NºAsuntos!E10)/NºAsuntos!G10)-Datos!BG10)/Datos!BG10," - ")</f>
        <v>0.76417641764176403</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-0.18298969072164947</v>
      </c>
      <c r="C11" s="456">
        <f>IF(ISNUMBER(
   IF(J_V="SI",(Datos!J11-Datos!T11)/Datos!T11,(Datos!J11+Datos!Z11-(Datos!T11+Datos!AH11))/(Datos!T11+Datos!AH11))
     ),IF(J_V="SI",(Datos!J11-Datos!T11)/Datos!T11,(Datos!J11+Datos!Z11-(Datos!T11+Datos!AH11))/(Datos!T11+Datos!AH11))," - ")</f>
        <v>4.4792833146696527E-2</v>
      </c>
      <c r="D11" s="456">
        <f>IF(ISNUMBER(
   IF(J_V="SI",(Datos!K11-Datos!U11)/Datos!U11,(Datos!K11+Datos!AA11-(Datos!U11+Datos!AI11))/(Datos!U11+Datos!AI11))
     ),IF(J_V="SI",(Datos!K11-Datos!U11)/Datos!U11,(Datos!K11+Datos!AA11-(Datos!U11+Datos!AI11))/(Datos!U11+Datos!AI11))," - ")</f>
        <v>1.1820330969267139E-2</v>
      </c>
      <c r="E11" s="456">
        <f>IF(ISNUMBER(
   IF(J_V="SI",(Datos!L11-Datos!V11)/Datos!V11,(Datos!L11+Datos!AB11-(Datos!V11+Datos!AJ11))/(Datos!V11+Datos!AJ11))
     ),IF(J_V="SI",(Datos!L11-Datos!V11)/Datos!V11,(Datos!L11+Datos!AB11-(Datos!V11+Datos!AJ11))/(Datos!V11+Datos!AJ11))," - ")</f>
        <v>-0.13713592233009708</v>
      </c>
      <c r="F11" s="456">
        <f>IF(ISNUMBER((Datos!M11-Datos!W11)/Datos!W11),(Datos!M11-Datos!W11)/Datos!W11," - ")</f>
        <v>0.27007299270072993</v>
      </c>
      <c r="G11" s="457">
        <f>IF(ISNUMBER((Datos!N11-Datos!X11)/Datos!X11),(Datos!N11-Datos!X11)/Datos!X11," - ")</f>
        <v>4.4554455445544552E-2</v>
      </c>
      <c r="H11" s="455">
        <f>IF(ISNUMBER(((NºAsuntos!G11/NºAsuntos!E11)-Datos!BD11)/Datos!BD11),((NºAsuntos!G11/NºAsuntos!E11)-Datos!BD11)/Datos!BD11," - ")</f>
        <v>-3.1558890079790333E-2</v>
      </c>
      <c r="I11" s="456">
        <f>IF(ISNUMBER(((NºAsuntos!I11/NºAsuntos!G11)-Datos!BE11)/Datos!BE11),((NºAsuntos!I11/NºAsuntos!G11)-Datos!BE11)/Datos!BE11," - ")</f>
        <v>-0.14721611015334357</v>
      </c>
      <c r="J11" s="461">
        <f>IF(ISNUMBER((('Resol  Asuntos'!D11/NºAsuntos!G11)-Datos!BF11)/Datos!BF11),(('Resol  Asuntos'!D11/NºAsuntos!G11)-Datos!BF11)/Datos!BF11," - ")</f>
        <v>-0.71622559452206902</v>
      </c>
      <c r="K11" s="462">
        <f>IF(ISNUMBER((((NºAsuntos!C11+NºAsuntos!E11)/NºAsuntos!G11)-Datos!BG11)/Datos!BG11),(((NºAsuntos!C11+NºAsuntos!E11)/NºAsuntos!G11)-Datos!BG11)/Datos!BG11," - ")</f>
        <v>-7.2082729039158258E-2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0.13636953418969769</v>
      </c>
      <c r="C13" s="855">
        <f>IF(ISNUMBER(
   IF(J_V="SI",(Datos!J13-Datos!T13)/Datos!T13,(Datos!J13+Datos!Z13-(Datos!T13+Datos!AH13))/(Datos!T13+Datos!AH13))
     ),IF(J_V="SI",(Datos!J13-Datos!T13)/Datos!T13,(Datos!J13+Datos!Z13-(Datos!T13+Datos!AH13))/(Datos!T13+Datos!AH13))," - ")</f>
        <v>1.0058290155440415</v>
      </c>
      <c r="D13" s="855">
        <f>IF(ISNUMBER(
   IF(J_V="SI",(Datos!K13-Datos!U13)/Datos!U13,(Datos!K13+Datos!AA13-(Datos!U13+Datos!AI13))/(Datos!U13+Datos!AI13))
     ),IF(J_V="SI",(Datos!K13-Datos!U13)/Datos!U13,(Datos!K13+Datos!AA13-(Datos!U13+Datos!AI13))/(Datos!U13+Datos!AI13))," - ")</f>
        <v>7.0868428695904734E-2</v>
      </c>
      <c r="E13" s="855">
        <f>IF(ISNUMBER(
   IF(J_V="SI",(Datos!L13-Datos!V13)/Datos!V13,(Datos!L13+Datos!AB13-(Datos!V13+Datos!AJ13))/(Datos!V13+Datos!AJ13))
     ),IF(J_V="SI",(Datos!L13-Datos!V13)/Datos!V13,(Datos!L13+Datos!AB13-(Datos!V13+Datos!AJ13))/(Datos!V13+Datos!AJ13))," - ")</f>
        <v>0.53202774377804973</v>
      </c>
      <c r="F13" s="856">
        <f>IF(ISNUMBER((Datos!M13-Datos!W13)/Datos!W13),(Datos!M13-Datos!W13)/Datos!W13," - ")</f>
        <v>7.5153374233128831E-2</v>
      </c>
      <c r="G13" s="857">
        <f>IF(ISNUMBER((Datos!N13-Datos!X13)/Datos!X13),(Datos!N13-Datos!X13)/Datos!X13," - ")</f>
        <v>-5.4095826893353939E-3</v>
      </c>
      <c r="H13" s="857">
        <f>IF(ISNUMBER(((NºAsuntos!G13/NºAsuntos!E13)-Datos!BD13)/Datos!BD13),((NºAsuntos!G13/NºAsuntos!E13)-Datos!BD13)/Datos!BD13," - ")</f>
        <v>-0.46612177787972975</v>
      </c>
      <c r="I13" s="857">
        <f>IF(ISNUMBER(((NºAsuntos!I13/NºAsuntos!G13)-Datos!BE13)/Datos!BE13),((NºAsuntos!I13/NºAsuntos!G13)-Datos!BE13)/Datos!BE13," - ")</f>
        <v>0.43064049954646755</v>
      </c>
      <c r="J13" s="857">
        <f>IF(ISNUMBER((('Resol  Asuntos'!D13/NºAsuntos!G13)-Datos!BF13)/Datos!BF13),(('Resol  Asuntos'!D13/NºAsuntos!G13)-Datos!BF13)/Datos!BF13," - ")</f>
        <v>4.0013744194906994E-3</v>
      </c>
      <c r="K13" s="857">
        <f>IF(ISNUMBER((((NºAsuntos!C13+NºAsuntos!E13)/NºAsuntos!G13)-Datos!BG13)/Datos!BG13),(((NºAsuntos!C13+NºAsuntos!E13)/NºAsuntos!G13)-Datos!BG13)/Datos!BG13," - ")</f>
        <v>0.29342284327606993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5.2245646196150318E-2</v>
      </c>
      <c r="C15" s="456">
        <f>IF(ISNUMBER(
   IF(D_I="SI",(Datos!J15-Datos!T15)/Datos!T15,(Datos!J15+Datos!AD15-(Datos!T15+Datos!AL15))/(Datos!T15+Datos!AL15))
     ),IF(D_I="SI",(Datos!J15-Datos!T15)/Datos!T15,(Datos!J15+Datos!AD15-(Datos!T15+Datos!AL15))/(Datos!T15+Datos!AL15))," - ")</f>
        <v>-2.9754525167369206E-3</v>
      </c>
      <c r="D15" s="456">
        <f>IF(ISNUMBER(
   IF(D_I="SI",(Datos!K15-Datos!U15)/Datos!U15,(Datos!K15+Datos!AE15-(Datos!U15+Datos!AM15))/(Datos!U15+Datos!AM15))
     ),IF(D_I="SI",(Datos!K15-Datos!U15)/Datos!U15,(Datos!K15+Datos!AE15-(Datos!U15+Datos!AM15))/(Datos!U15+Datos!AM15))," - ")</f>
        <v>5.6678166584524396E-2</v>
      </c>
      <c r="E15" s="456">
        <f>IF(ISNUMBER(
   IF(D_I="SI",(Datos!L15-Datos!V15)/Datos!V15,(Datos!L15+Datos!AF15-(Datos!V15+Datos!AN15))/(Datos!V15+Datos!AN15))
     ),IF(D_I="SI",(Datos!L15-Datos!V15)/Datos!V15,(Datos!L15+Datos!AF15-(Datos!V15+Datos!AN15))/(Datos!V15+Datos!AN15))," - ")</f>
        <v>-4.594532506317482E-3</v>
      </c>
      <c r="F15" s="456">
        <f>IF(ISNUMBER((Datos!M15-Datos!W15)/Datos!W15),(Datos!M15-Datos!W15)/Datos!W15," - ")</f>
        <v>0.24299065420560748</v>
      </c>
      <c r="G15" s="457">
        <f>IF(ISNUMBER((Datos!N15-Datos!X15)/Datos!X15),(Datos!N15-Datos!X15)/Datos!X15," - ")</f>
        <v>8.6602139582272041E-3</v>
      </c>
      <c r="H15" s="455">
        <f>IF(ISNUMBER(((NºAsuntos!G15/NºAsuntos!E15)-Datos!BD15)/Datos!BD15),((NºAsuntos!G15/NºAsuntos!E15)-Datos!BD15)/Datos!BD15," - ")</f>
        <v>5.983164532091198E-2</v>
      </c>
      <c r="I15" s="456">
        <f>IF(ISNUMBER(((NºAsuntos!I15/NºAsuntos!G15)-Datos!BE15)/Datos!BE15),((NºAsuntos!I15/NºAsuntos!G15)-Datos!BE15)/Datos!BE15," - ")</f>
        <v>-5.7986150398935753E-2</v>
      </c>
      <c r="J15" s="461">
        <f>IF(ISNUMBER((('Resol  Asuntos'!D15/NºAsuntos!G15)-Datos!BF15)/Datos!BF15),(('Resol  Asuntos'!D15/NºAsuntos!G15)-Datos!BF15)/Datos!BF15," - ")</f>
        <v>0.17631904728692996</v>
      </c>
      <c r="K15" s="462">
        <f>IF(ISNUMBER((((NºAsuntos!C15+NºAsuntos!E15)/NºAsuntos!G15)-Datos!BG15)/Datos!BG15),(((NºAsuntos!C15+NºAsuntos!E15)/NºAsuntos!G15)-Datos!BG15)/Datos!BG15," - ")</f>
        <v>-2.9294344195421713E-2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0.16228070175438597</v>
      </c>
      <c r="C17" s="456">
        <f>IF(ISNUMBER(
   IF(D_I="SI",(Datos!J17-Datos!T17)/Datos!T17,(Datos!J17+Datos!AD17-(Datos!T17+Datos!AL17))/(Datos!T17+Datos!AL17))
     ),IF(D_I="SI",(Datos!J17-Datos!T17)/Datos!T17,(Datos!J17+Datos!AD17-(Datos!T17+Datos!AL17))/(Datos!T17+Datos!AL17))," - ")</f>
        <v>4.2904290429042903E-2</v>
      </c>
      <c r="D17" s="456">
        <f>IF(ISNUMBER(
   IF(D_I="SI",(Datos!K17-Datos!U17)/Datos!U17,(Datos!K17+Datos!AE17-(Datos!U17+Datos!AM17))/(Datos!U17+Datos!AM17))
     ),IF(D_I="SI",(Datos!K17-Datos!U17)/Datos!U17,(Datos!K17+Datos!AE17-(Datos!U17+Datos!AM17))/(Datos!U17+Datos!AM17))," - ")</f>
        <v>0.1040268456375839</v>
      </c>
      <c r="E17" s="456">
        <f>IF(ISNUMBER(
   IF(D_I="SI",(Datos!L17-Datos!V17)/Datos!V17,(Datos!L17+Datos!AF17-(Datos!V17+Datos!AN17))/(Datos!V17+Datos!AN17))
     ),IF(D_I="SI",(Datos!L17-Datos!V17)/Datos!V17,(Datos!L17+Datos!AF17-(Datos!V17+Datos!AN17))/(Datos!V17+Datos!AN17))," - ")</f>
        <v>6.7796610169491525E-2</v>
      </c>
      <c r="F17" s="456">
        <f>IF(ISNUMBER((Datos!M17-Datos!W17)/Datos!W17),(Datos!M17-Datos!W17)/Datos!W17," - ")</f>
        <v>0.52941176470588236</v>
      </c>
      <c r="G17" s="457">
        <f>IF(ISNUMBER((Datos!N17-Datos!X17)/Datos!X17),(Datos!N17-Datos!X17)/Datos!X17," - ")</f>
        <v>0.84761904761904761</v>
      </c>
      <c r="H17" s="455">
        <f>IF(ISNUMBER(((NºAsuntos!G17/NºAsuntos!E17)-Datos!BD17)/Datos!BD17),((NºAsuntos!G17/NºAsuntos!E17)-Datos!BD17)/Datos!BD17," - ")</f>
        <v>5.8608019709455415E-2</v>
      </c>
      <c r="I17" s="456">
        <f>IF(ISNUMBER(((NºAsuntos!I17/NºAsuntos!G17)-Datos!BE17)/Datos!BE17),((NºAsuntos!I17/NºAsuntos!G17)-Datos!BE17)/Datos!BE17," - ")</f>
        <v>-3.2816444284168737E-2</v>
      </c>
      <c r="J17" s="461">
        <f>IF(ISNUMBER((('Resol  Asuntos'!D17/NºAsuntos!G17)-Datos!BF17)/Datos!BF17),(('Resol  Asuntos'!D17/NºAsuntos!G17)-Datos!BF17)/Datos!BF17," - ")</f>
        <v>0.38530305739316995</v>
      </c>
      <c r="K17" s="462">
        <f>IF(ISNUMBER((((NºAsuntos!C17+NºAsuntos!E17)/NºAsuntos!G17)-Datos!BG17)/Datos!BG17),(((NºAsuntos!C17+NºAsuntos!E17)/NºAsuntos!G17)-Datos!BG17)/Datos!BG17," - ")</f>
        <v>-8.9353688343951822E-3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5.7709059233449475E-2</v>
      </c>
      <c r="C18" s="855">
        <f>IF(ISNUMBER(
   IF(Criterios!B14="SI",(Datos!J18-Datos!T18)/Datos!T18,(Datos!J18+Datos!AD18-(Datos!T18+Datos!AL18))/(Datos!T18+Datos!AL18))
     ),IF(Criterios!B14="SI",(Datos!J18-Datos!T18)/Datos!T18,(Datos!J18+Datos!AD18-(Datos!T18+Datos!AL18))/(Datos!T18+Datos!AL18))," - ")</f>
        <v>2.3062730627306272E-4</v>
      </c>
      <c r="D18" s="855">
        <f>IF(ISNUMBER(
   IF(Criterios!B14="SI",(Datos!K18-Datos!U18)/Datos!U18,(Datos!K18+Datos!AE18-(Datos!U18+Datos!AM18))/(Datos!U18+Datos!AM18))
     ),IF(Criterios!B14="SI",(Datos!K18-Datos!U18)/Datos!U18,(Datos!K18+Datos!AE18-(Datos!U18+Datos!AM18))/(Datos!U18+Datos!AM18))," - ")</f>
        <v>5.9917355371900828E-2</v>
      </c>
      <c r="E18" s="855">
        <f>IF(ISNUMBER(
   IF(Criterios!B14="SI",(Datos!L18-Datos!V18)/Datos!V18,(Datos!L18+Datos!AF18-(Datos!V18+Datos!AN18))/(Datos!V18+Datos!AN18))
     ),IF(Criterios!B14="SI",(Datos!L18-Datos!V18)/Datos!V18,(Datos!L18+Datos!AF18-(Datos!V18+Datos!AN18))/(Datos!V18+Datos!AN18))," - ")</f>
        <v>-8.7164959686206146E-4</v>
      </c>
      <c r="F18" s="856">
        <f>IF(ISNUMBER((Datos!M18-Datos!W18)/Datos!W18),(Datos!M18-Datos!W18)/Datos!W18," - ")</f>
        <v>0.2601054481546573</v>
      </c>
      <c r="G18" s="857">
        <f>IF(ISNUMBER((Datos!N18-Datos!X18)/Datos!X18),(Datos!N18-Datos!X18)/Datos!X18," - ")</f>
        <v>5.1257253384912958E-2</v>
      </c>
      <c r="H18" s="857">
        <f>IF(ISNUMBER(((NºAsuntos!G18/NºAsuntos!E18)-Datos!BD18)/Datos!BD18),((NºAsuntos!G18/NºAsuntos!E18)-Datos!BD18)/Datos!BD18," - ")</f>
        <v>5.96729658502562E-2</v>
      </c>
      <c r="I18" s="857">
        <f>IF(ISNUMBER(((NºAsuntos!I18/NºAsuntos!G18)-Datos!BE18)/Datos!BE18),((NºAsuntos!I18/NºAsuntos!G18)-Datos!BE18)/Datos!BE18," - ")</f>
        <v>-5.7352589483199337E-2</v>
      </c>
      <c r="J18" s="857">
        <f>IF(ISNUMBER((('Resol  Asuntos'!D18/NºAsuntos!G18)-Datos!BF18)/Datos!BF18),(('Resol  Asuntos'!D18/NºAsuntos!G18)-Datos!BF18)/Datos!BF18," - ")</f>
        <v>0.18887141697242507</v>
      </c>
      <c r="K18" s="857">
        <f>IF(ISNUMBER((((NºAsuntos!C18+NºAsuntos!E18)/NºAsuntos!G18)-Datos!BG18)/Datos!BG18),(((NºAsuntos!C18+NºAsuntos!E18)/NºAsuntos!G18)-Datos!BG18)/Datos!BG18," - ")</f>
        <v>-2.8420563555443652E-2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0.10700056915196357</v>
      </c>
      <c r="C19" s="802">
        <f>IF(ISNUMBER(
   IF(J_V="SI",(Datos!J19-Datos!T19)/Datos!T19,(Datos!J19+Datos!Z19-(Datos!T19+Datos!AH19))/(Datos!T19+Datos!AH19))
     ),IF(J_V="SI",(Datos!J19-Datos!T19)/Datos!T19,(Datos!J19+Datos!Z19-(Datos!T19+Datos!AH19))/(Datos!T19+Datos!AH19))," - ")</f>
        <v>0.41850754310344829</v>
      </c>
      <c r="D19" s="802">
        <f>IF(ISNUMBER(
   IF(J_V="SI",(Datos!K19-Datos!U19)/Datos!U19,(Datos!K19+Datos!AA19-(Datos!U19+Datos!AI19))/(Datos!U19+Datos!AI19))
     ),IF(J_V="SI",(Datos!K19-Datos!U19)/Datos!U19,(Datos!K19+Datos!AA19-(Datos!U19+Datos!AI19))/(Datos!U19+Datos!AI19))," - ")</f>
        <v>6.4751891268111303E-2</v>
      </c>
      <c r="E19" s="802">
        <f>IF(ISNUMBER(
   IF(J_V="SI",(Datos!L19-Datos!V19)/Datos!V19,(Datos!L19+Datos!AB19-(Datos!V19+Datos!AJ19))/(Datos!V19+Datos!AJ19))
     ),IF(J_V="SI",(Datos!L19-Datos!V19)/Datos!V19,(Datos!L19+Datos!AB19-(Datos!V19+Datos!AJ19))/(Datos!V19+Datos!AJ19))," - ")</f>
        <v>0.32724836710768718</v>
      </c>
      <c r="F19" s="803">
        <f>IF(ISNUMBER((Datos!M19-Datos!W19)/Datos!W19),(Datos!M19-Datos!W19)/Datos!W19," - ")</f>
        <v>0.13134009610250935</v>
      </c>
      <c r="G19" s="804">
        <f>IF(ISNUMBER((Datos!N19-Datos!X19)/Datos!X19),(Datos!N19-Datos!X19)/Datos!X19," - ")</f>
        <v>2.944675788221297E-2</v>
      </c>
      <c r="H19" s="805">
        <f>IF(ISNUMBER((Tasas!B19-Datos!BD19)/Datos!BD19),(Tasas!B19-Datos!BD19)/Datos!BD19," - ")</f>
        <v>-0.2493858094412251</v>
      </c>
      <c r="I19" s="806">
        <f>IF(ISNUMBER((Tasas!C19-Datos!BE19)/Datos!BE19),(Tasas!C19-Datos!BE19)/Datos!BE19," - ")</f>
        <v>0.24653299796156686</v>
      </c>
      <c r="J19" s="807">
        <f>IF(ISNUMBER((Tasas!D19-Datos!BF19)/Datos!BF19),(Tasas!D19-Datos!BF19)/Datos!BF19," - ")</f>
        <v>6.2538705383365742E-2</v>
      </c>
      <c r="K19" s="807">
        <f>IF(ISNUMBER((Tasas!E19-Datos!BG19)/Datos!BG19),(Tasas!E19-Datos!BG19)/Datos!BG19," - ")</f>
        <v>0.14980396360498502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T/e42tzw3MfOadHKi0m4sRkFtUu/C5r3SwexMUqnwZvmaQ2Wtxmejl+sX37rjHfGLvv+rbdggROdvwhF4wgxg==" saltValue="QeA3HxYtQtjfsN/9LWOd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DONOSTIA-SAN SEBASTIAN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0.5360687022900763</v>
      </c>
      <c r="C9" s="443">
        <f>IF(ISNUMBER(NºAsuntos!I9/NºAsuntos!G9),NºAsuntos!I9/NºAsuntos!G9," - ")</f>
        <v>3.7301530793876823</v>
      </c>
      <c r="D9" s="444">
        <f>IF(ISNUMBER('Resol  Asuntos'!D9/NºAsuntos!G9),'Resol  Asuntos'!D9/NºAsuntos!G9," - ")</f>
        <v>0.42969028123887504</v>
      </c>
      <c r="E9" s="445">
        <f>IF(ISNUMBER((NºAsuntos!C9+NºAsuntos!E9)/NºAsuntos!G9),(NºAsuntos!C9+NºAsuntos!E9)/NºAsuntos!G9," - ")</f>
        <v>4.7301530793876827</v>
      </c>
      <c r="G9" s="463"/>
    </row>
    <row r="10" spans="1:7">
      <c r="A10" s="402" t="str">
        <f>Datos!A10</f>
        <v>Jdos. Violencia contra la mujer</v>
      </c>
      <c r="B10" s="442">
        <f>IF(ISNUMBER(NºAsuntos!G10/NºAsuntos!E10),NºAsuntos!G10/NºAsuntos!E10," - ")</f>
        <v>1.0476190476190477</v>
      </c>
      <c r="C10" s="443">
        <f>IF(ISNUMBER(NºAsuntos!I10/NºAsuntos!G10),NºAsuntos!I10/NºAsuntos!G10," - ")</f>
        <v>3.4545454545454546</v>
      </c>
      <c r="D10" s="444">
        <f>IF(ISNUMBER('Resol  Asuntos'!D10/NºAsuntos!G10),'Resol  Asuntos'!D10/NºAsuntos!G10," - ")</f>
        <v>0.95454545454545459</v>
      </c>
      <c r="E10" s="445">
        <f>IF(ISNUMBER((NºAsuntos!C10+NºAsuntos!E10)/NºAsuntos!G10),(NºAsuntos!C10+NºAsuntos!E10)/NºAsuntos!G10," - ")</f>
        <v>4.4545454545454541</v>
      </c>
      <c r="G10" s="463"/>
    </row>
    <row r="11" spans="1:7">
      <c r="A11" s="402" t="str">
        <f>Datos!A11</f>
        <v xml:space="preserve">Jdos. Familia                                   </v>
      </c>
      <c r="B11" s="442">
        <f>IF(ISNUMBER(NºAsuntos!G11/NºAsuntos!E11),NºAsuntos!G11/NºAsuntos!E11," - ")</f>
        <v>0.917470525187567</v>
      </c>
      <c r="C11" s="443">
        <f>IF(ISNUMBER(NºAsuntos!I11/NºAsuntos!G11),NºAsuntos!I11/NºAsuntos!G11," - ")</f>
        <v>0.83060747663551404</v>
      </c>
      <c r="D11" s="444">
        <f>IF(ISNUMBER('Resol  Asuntos'!D11/NºAsuntos!G11),'Resol  Asuntos'!D11/NºAsuntos!G11," - ")</f>
        <v>0.20327102803738317</v>
      </c>
      <c r="E11" s="445">
        <f>IF(ISNUMBER((NºAsuntos!C11+NºAsuntos!E11)/NºAsuntos!G11),(NºAsuntos!C11+NºAsuntos!E11)/NºAsuntos!G11," - ")</f>
        <v>1.830607476635514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0.59525347110106552</v>
      </c>
      <c r="C13" s="859">
        <f>IF(ISNUMBER(NºAsuntos!I13/NºAsuntos!G13),NºAsuntos!I13/NºAsuntos!G13," - ")</f>
        <v>3.0553295362082995</v>
      </c>
      <c r="D13" s="860">
        <f>IF(ISNUMBER('Resol  Asuntos'!D13/NºAsuntos!G13),'Resol  Asuntos'!D13/NºAsuntos!G13," - ")</f>
        <v>0.38025494982370489</v>
      </c>
      <c r="E13" s="861">
        <f>IF(ISNUMBER((NºAsuntos!C13+NºAsuntos!E13)/NºAsuntos!G13),(NºAsuntos!C13+NºAsuntos!E13)/NºAsuntos!G13," - ")</f>
        <v>4.0553295362082995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1.066401392688386</v>
      </c>
      <c r="C15" s="443">
        <f>IF(ISNUMBER(NºAsuntos!I15/NºAsuntos!G15),NºAsuntos!I15/NºAsuntos!G15," - ")</f>
        <v>1.0104944029850746</v>
      </c>
      <c r="D15" s="444">
        <f>IF(ISNUMBER('Resol  Asuntos'!D15/NºAsuntos!G15),'Resol  Asuntos'!D15/NºAsuntos!G15," - ")</f>
        <v>0.1550839552238806</v>
      </c>
      <c r="E15" s="445">
        <f>IF(ISNUMBER((NºAsuntos!C15+NºAsuntos!E15)/NºAsuntos!G15),(NºAsuntos!C15+NºAsuntos!E15)/NºAsuntos!G15," - ")</f>
        <v>2.0086287313432836</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1.0411392405063291</v>
      </c>
      <c r="C17" s="443">
        <f>IF(ISNUMBER(NºAsuntos!I17/NºAsuntos!G17),NºAsuntos!I17/NºAsuntos!G17," - ")</f>
        <v>0.76595744680851063</v>
      </c>
      <c r="D17" s="444">
        <f>IF(ISNUMBER('Resol  Asuntos'!D17/NºAsuntos!G17),'Resol  Asuntos'!D17/NºAsuntos!G17," - ")</f>
        <v>0.1580547112462006</v>
      </c>
      <c r="E17" s="445">
        <f>IF(ISNUMBER((NºAsuntos!C17+NºAsuntos!E17)/NºAsuntos!G17),(NºAsuntos!C17+NºAsuntos!E17)/NºAsuntos!G17," - ")</f>
        <v>1.7659574468085106</v>
      </c>
      <c r="G17" s="463"/>
    </row>
    <row r="18" spans="1:7" ht="14.25" thickTop="1" thickBot="1">
      <c r="A18" s="848" t="str">
        <f>Datos!A18</f>
        <v>TOTAL</v>
      </c>
      <c r="B18" s="858">
        <f>IF(ISNUMBER(NºAsuntos!G18/NºAsuntos!E18),NºAsuntos!G18/NºAsuntos!E18," - ")</f>
        <v>1.0645607562831449</v>
      </c>
      <c r="C18" s="859">
        <f>IF(ISNUMBER(NºAsuntos!I18/NºAsuntos!G18),NºAsuntos!I18/NºAsuntos!G18," - ")</f>
        <v>0.9930690924842972</v>
      </c>
      <c r="D18" s="862">
        <f>IF(ISNUMBER('Resol  Asuntos'!D18/NºAsuntos!G18),'Resol  Asuntos'!D18/NºAsuntos!G18," - ")</f>
        <v>0.15529564652371669</v>
      </c>
      <c r="E18" s="861">
        <f>IF(ISNUMBER((NºAsuntos!C18+NºAsuntos!E18)/NºAsuntos!G18),(NºAsuntos!C18+NºAsuntos!E18)/NºAsuntos!G18," - ")</f>
        <v>1.9913363656053715</v>
      </c>
      <c r="G18" s="463"/>
    </row>
    <row r="19" spans="1:7" ht="15.75" customHeight="1" thickTop="1" thickBot="1">
      <c r="A19" s="793" t="str">
        <f>Datos!A19</f>
        <v>TOTAL JURISDICCIONES</v>
      </c>
      <c r="B19" s="808">
        <f>IF(ISNUMBER(NºAsuntos!G19/NºAsuntos!E19),NºAsuntos!G19/NºAsuntos!E19," - ")</f>
        <v>0.78852910454847591</v>
      </c>
      <c r="C19" s="809">
        <f>IF(ISNUMBER(NºAsuntos!I19/NºAsuntos!G19),NºAsuntos!I19/NºAsuntos!G19," - ")</f>
        <v>1.9087186897880539</v>
      </c>
      <c r="D19" s="810">
        <f>IF(ISNUMBER('Resol  Asuntos'!D19/NºAsuntos!G19),'Resol  Asuntos'!D19/NºAsuntos!G19," - ")</f>
        <v>0.25517822736030826</v>
      </c>
      <c r="E19" s="811">
        <f>IF(ISNUMBER((NºAsuntos!C19+NºAsuntos!E19)/NºAsuntos!G19),(NºAsuntos!C19+NºAsuntos!E19)/NºAsuntos!G19," - ")</f>
        <v>2.9077552986512525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cnf7W4Mtf/DGJLJVMJRu4kv1KhskJ9TW6pzie1qtFXOCTf5Af9xQQlb6j7uOWFWJLlYwtTkzSJu0shB5Y7TDA==" saltValue="BPNtAZWHvnhNP6jiJEAX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DONOSTIA-SAN SEBASTIAN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326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491</v>
      </c>
      <c r="Y9" s="334">
        <f>SUM(W9:X9)</f>
        <v>491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3707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1207</v>
      </c>
      <c r="AJ9" s="229" t="str">
        <f>IF(ISNUMBER(Datos!BW9),Datos!BW9," - ")</f>
        <v xml:space="preserve"> - </v>
      </c>
      <c r="AK9" s="228" t="str">
        <f>IF(ISNUMBER(Datos!BX9),Datos!BX9," - ")</f>
        <v xml:space="preserve"> - </v>
      </c>
      <c r="AL9" s="243">
        <f>IF(ISNUMBER(NºAsuntos!G9/NºAsuntos!E9),NºAsuntos!G9/NºAsuntos!E9," - ")</f>
        <v>0.5360687022900763</v>
      </c>
      <c r="AM9" s="260">
        <f>IF(ISNUMBER(((NºAsuntos!I9/NºAsuntos!G9)*11)/factor_trimestre),((NºAsuntos!I9/NºAsuntos!G9)*11)/factor_trimestre," - ")</f>
        <v>11.190459238163047</v>
      </c>
      <c r="AN9" s="244">
        <f>IF(ISNUMBER('Resol  Asuntos'!D9/NºAsuntos!G9),'Resol  Asuntos'!D9/NºAsuntos!G9," - ")</f>
        <v>0.42969028123887504</v>
      </c>
      <c r="AO9" s="245">
        <f>IF(ISNUMBER((NºAsuntos!C9+NºAsuntos!E9)/NºAsuntos!G9),(NºAsuntos!C9+NºAsuntos!E9)/NºAsuntos!G9," - ")</f>
        <v>4.7301530793876827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77</v>
      </c>
      <c r="G10" s="333">
        <f>IF(ISNUMBER(Datos!I10),Datos!I10," - ")</f>
        <v>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76</v>
      </c>
      <c r="AB10" s="334">
        <f>IF(ISNUMBER(Datos!R10),Datos!R10," - ")</f>
        <v>71</v>
      </c>
      <c r="AC10" s="334">
        <f t="shared" ref="AC10:AC12" si="1">IF(ISNUMBER(AA10+AB10),AA10+AB10," - ")</f>
        <v>147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1.0476190476190477</v>
      </c>
      <c r="AM10" s="260">
        <f>IF(ISNUMBER(((NºAsuntos!I10/NºAsuntos!G10)*11)/factor_trimestre),((NºAsuntos!I10/NºAsuntos!G10)*11)/factor_trimestre," - ")</f>
        <v>10.363636363636363</v>
      </c>
      <c r="AN10" s="244">
        <f>IF(ISNUMBER('Resol  Asuntos'!D10/NºAsuntos!G10),'Resol  Asuntos'!D10/NºAsuntos!G10," - ")</f>
        <v>0.95454545454545459</v>
      </c>
      <c r="AO10" s="245">
        <f>IF(ISNUMBER((NºAsuntos!C10+NºAsuntos!E10)/NºAsuntos!G10),(NºAsuntos!C10+NºAsuntos!E10)/NºAsuntos!G10," - ")</f>
        <v>4.4545454545454541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62</v>
      </c>
      <c r="Y11" s="334">
        <f t="shared" si="0"/>
        <v>62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459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174</v>
      </c>
      <c r="AJ11" s="231" t="str">
        <f>IF(ISNUMBER(Datos!BW11),Datos!BW11," - ")</f>
        <v xml:space="preserve"> - </v>
      </c>
      <c r="AK11" s="232" t="str">
        <f>IF(ISNUMBER(Datos!BX11),Datos!BX11," - ")</f>
        <v xml:space="preserve"> - </v>
      </c>
      <c r="AL11" s="243">
        <f>IF(ISNUMBER(NºAsuntos!G11/NºAsuntos!E11),NºAsuntos!G11/NºAsuntos!E11," - ")</f>
        <v>0.917470525187567</v>
      </c>
      <c r="AM11" s="260">
        <f>IF(ISNUMBER(((NºAsuntos!I11/NºAsuntos!G11)*11)/factor_trimestre),((NºAsuntos!I11/NºAsuntos!G11)*11)/factor_trimestre," - ")</f>
        <v>2.4918224299065419</v>
      </c>
      <c r="AN11" s="244">
        <f>IF(ISNUMBER('Resol  Asuntos'!D11/NºAsuntos!G11),'Resol  Asuntos'!D11/NºAsuntos!G11," - ")</f>
        <v>0.20327102803738317</v>
      </c>
      <c r="AO11" s="245">
        <f>IF(ISNUMBER((NºAsuntos!C11+NºAsuntos!E11)/NºAsuntos!G11),(NºAsuntos!C11+NºAsuntos!E11)/NºAsuntos!G11," - ")</f>
        <v>1.830607476635514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77</v>
      </c>
      <c r="G13" s="866">
        <f t="shared" si="3"/>
        <v>77</v>
      </c>
      <c r="H13" s="865">
        <f t="shared" si="3"/>
        <v>0</v>
      </c>
      <c r="I13" s="867">
        <f t="shared" si="3"/>
        <v>0</v>
      </c>
      <c r="J13" s="867">
        <f t="shared" si="3"/>
        <v>0</v>
      </c>
      <c r="K13" s="867">
        <f t="shared" si="3"/>
        <v>0</v>
      </c>
      <c r="L13" s="867">
        <f t="shared" si="3"/>
        <v>358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553</v>
      </c>
      <c r="Y13" s="868">
        <f t="shared" si="4"/>
        <v>575</v>
      </c>
      <c r="Z13" s="868">
        <f t="shared" si="4"/>
        <v>0</v>
      </c>
      <c r="AA13" s="868">
        <f t="shared" si="4"/>
        <v>76</v>
      </c>
      <c r="AB13" s="868">
        <f t="shared" si="4"/>
        <v>4237</v>
      </c>
      <c r="AC13" s="868">
        <f t="shared" si="4"/>
        <v>147</v>
      </c>
      <c r="AD13" s="868">
        <f t="shared" si="4"/>
        <v>0</v>
      </c>
      <c r="AE13" s="872">
        <f t="shared" si="4"/>
        <v>0</v>
      </c>
      <c r="AF13" s="865">
        <f t="shared" si="4"/>
        <v>0</v>
      </c>
      <c r="AG13" s="873">
        <f t="shared" si="4"/>
        <v>0</v>
      </c>
      <c r="AH13" s="870">
        <f t="shared" si="4"/>
        <v>0</v>
      </c>
      <c r="AI13" s="865">
        <f t="shared" si="4"/>
        <v>1402</v>
      </c>
      <c r="AJ13" s="867">
        <f t="shared" si="4"/>
        <v>0</v>
      </c>
      <c r="AK13" s="870">
        <f>SUBTOTAL(9,AK9:AK12)</f>
        <v>0</v>
      </c>
      <c r="AL13" s="874">
        <f>IF(ISNUMBER(NºAsuntos!G13/NºAsuntos!E13),NºAsuntos!G13/NºAsuntos!E13," - ")</f>
        <v>0.59525347110106552</v>
      </c>
      <c r="AM13" s="874">
        <f>IF(ISNUMBER(((NºAsuntos!I13/NºAsuntos!G13)*11)/factor_trimestre),((NºAsuntos!I13/NºAsuntos!G13)*11)/factor_trimestre," - ")</f>
        <v>9.1659886086248985</v>
      </c>
      <c r="AN13" s="875">
        <f>IF(ISNUMBER('Resol  Asuntos'!D13/NºAsuntos!G13),'Resol  Asuntos'!D13/NºAsuntos!G13," - ")</f>
        <v>0.38025494982370489</v>
      </c>
      <c r="AO13" s="876">
        <f>IF(ISNUMBER((NºAsuntos!C13+NºAsuntos!E13)/NºAsuntos!G13),(NºAsuntos!C13+NºAsuntos!E13)/NºAsuntos!G13," - ")</f>
        <v>4.0553295362082995</v>
      </c>
      <c r="AP13" s="877" t="str">
        <f t="shared" si="2"/>
        <v xml:space="preserve"> - </v>
      </c>
      <c r="AQ13" s="877">
        <f>IF(ISNUMBER((H13-W13+K13)/(F13)),(H13-W13+K13)/(F13)," - ")</f>
        <v>-0.2857142857142857</v>
      </c>
      <c r="AR13" s="878">
        <f>IF(ISNUMBER((Datos!P13-Datos!Q13)/(Datos!R13-Datos!P13+Datos!Q13)),(Datos!P13-Datos!Q13)/(Datos!R13-Datos!P13+Datos!Q13)," - ")</f>
        <v>-4.3998194945848376E-2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4600</v>
      </c>
      <c r="G15" s="333">
        <f>IF(ISNUMBER(IF(D_I="SI",Datos!I15,Datos!I15+Datos!AC15)),IF(D_I="SI",Datos!I15,Datos!I15+Datos!AC15)," - ")</f>
        <v>4592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392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4288</v>
      </c>
      <c r="X15" s="226">
        <f>IF(ISNUMBER(Datos!Q15),Datos!Q15," - ")</f>
        <v>202</v>
      </c>
      <c r="Y15" s="334">
        <f>SUM(W15)</f>
        <v>4288</v>
      </c>
      <c r="Z15" s="335" t="str">
        <f>IF(ISNUMBER(Datos!CC15),Datos!CC15," - ")</f>
        <v xml:space="preserve"> - </v>
      </c>
      <c r="AA15" s="332">
        <f>IF(ISNUMBER(IF(D_I="SI",Datos!L15,Datos!L15+Datos!AF15)),IF(D_I="SI",Datos!L15,Datos!L15+Datos!AF15)," - ")</f>
        <v>4333</v>
      </c>
      <c r="AB15" s="334">
        <f>IF(ISNUMBER(Datos!R15),Datos!R15," - ")</f>
        <v>867</v>
      </c>
      <c r="AC15" s="334">
        <f t="shared" ref="AC15:AC17" si="6">IF(ISNUMBER(AA15+AB15),AA15+AB15," - ")</f>
        <v>5200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665</v>
      </c>
      <c r="AJ15" s="231" t="str">
        <f>IF(ISNUMBER(Datos!BW15),Datos!BW15," - ")</f>
        <v xml:space="preserve"> - </v>
      </c>
      <c r="AK15" s="232" t="str">
        <f>IF(ISNUMBER(Datos!BX15),Datos!BX15," - ")</f>
        <v xml:space="preserve"> - </v>
      </c>
      <c r="AL15" s="243">
        <f>IF(ISNUMBER(NºAsuntos!G15/NºAsuntos!E15),NºAsuntos!G15/NºAsuntos!E15," - ")</f>
        <v>1.066401392688386</v>
      </c>
      <c r="AM15" s="260">
        <f>IF(ISNUMBER(((NºAsuntos!I15/NºAsuntos!G15)*11)/factor_trimestre),((NºAsuntos!I15/NºAsuntos!G15)*11)/factor_trimestre," - ")</f>
        <v>3.0314832089552244</v>
      </c>
      <c r="AN15" s="244">
        <f>IF(ISNUMBER('Resol  Asuntos'!D15/NºAsuntos!G15),'Resol  Asuntos'!D15/NºAsuntos!G15," - ")</f>
        <v>0.1550839552238806</v>
      </c>
      <c r="AO15" s="245">
        <f>IF(ISNUMBER((NºAsuntos!C15+NºAsuntos!E15)/NºAsuntos!G15),(NºAsuntos!C15+NºAsuntos!E15)/NºAsuntos!G15," - ")</f>
        <v>2.0086287313432836</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329</v>
      </c>
      <c r="X17" s="226">
        <f>IF(ISNUMBER(Datos!Q17),Datos!Q17," - ")</f>
        <v>1</v>
      </c>
      <c r="Y17" s="334">
        <f t="shared" si="7"/>
        <v>330</v>
      </c>
      <c r="Z17" s="335" t="str">
        <f>IF(ISNUMBER(Datos!CC17),Datos!CC17," - ")</f>
        <v xml:space="preserve"> - </v>
      </c>
      <c r="AA17" s="332">
        <f>IF(ISNUMBER(Datos!L17),Datos!L17,"-")</f>
        <v>252</v>
      </c>
      <c r="AB17" s="334">
        <f>IF(ISNUMBER(Datos!R17),Datos!R17," - ")</f>
        <v>0</v>
      </c>
      <c r="AC17" s="334">
        <f t="shared" si="6"/>
        <v>252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52</v>
      </c>
      <c r="AJ17" s="231" t="str">
        <f>IF(ISNUMBER(Datos!BW17),Datos!BW17," - ")</f>
        <v xml:space="preserve"> - </v>
      </c>
      <c r="AK17" s="232" t="str">
        <f>IF(ISNUMBER(Datos!BX17),Datos!BX17," - ")</f>
        <v xml:space="preserve"> - </v>
      </c>
      <c r="AL17" s="243">
        <f>IF(ISNUMBER(NºAsuntos!G17/NºAsuntos!E17),NºAsuntos!G17/NºAsuntos!E17," - ")</f>
        <v>1.0411392405063291</v>
      </c>
      <c r="AM17" s="260">
        <f>IF(ISNUMBER(((NºAsuntos!I17/NºAsuntos!G17)*11)/factor_trimestre),((NºAsuntos!I17/NºAsuntos!G17)*11)/factor_trimestre," - ")</f>
        <v>2.2978723404255317</v>
      </c>
      <c r="AN17" s="244">
        <f>IF(ISNUMBER('Resol  Asuntos'!D17/NºAsuntos!G17),'Resol  Asuntos'!D17/NºAsuntos!G17," - ")</f>
        <v>0.1580547112462006</v>
      </c>
      <c r="AO17" s="245">
        <f>IF(ISNUMBER((NºAsuntos!C17+NºAsuntos!E17)/NºAsuntos!G17),(NºAsuntos!C17+NºAsuntos!E17)/NºAsuntos!G17," - ")</f>
        <v>1.7659574468085106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4600</v>
      </c>
      <c r="G18" s="866">
        <f>SUBTOTAL(9,G15:G17)</f>
        <v>4857</v>
      </c>
      <c r="H18" s="865">
        <f t="shared" ref="H18:O18" si="10">SUBTOTAL(9,H14:H17)</f>
        <v>0</v>
      </c>
      <c r="I18" s="867">
        <f t="shared" si="10"/>
        <v>0</v>
      </c>
      <c r="J18" s="867">
        <f t="shared" si="10"/>
        <v>0</v>
      </c>
      <c r="K18" s="867">
        <f t="shared" si="10"/>
        <v>0</v>
      </c>
      <c r="L18" s="867">
        <f t="shared" si="10"/>
        <v>392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4617</v>
      </c>
      <c r="X18" s="867">
        <f t="shared" si="11"/>
        <v>203</v>
      </c>
      <c r="Y18" s="868">
        <f t="shared" si="11"/>
        <v>4618</v>
      </c>
      <c r="Z18" s="868">
        <f t="shared" si="11"/>
        <v>0</v>
      </c>
      <c r="AA18" s="868">
        <f t="shared" si="11"/>
        <v>4585</v>
      </c>
      <c r="AB18" s="868">
        <f t="shared" si="11"/>
        <v>867</v>
      </c>
      <c r="AC18" s="868">
        <f t="shared" si="11"/>
        <v>5452</v>
      </c>
      <c r="AD18" s="868">
        <f t="shared" si="11"/>
        <v>0</v>
      </c>
      <c r="AE18" s="872">
        <f t="shared" si="11"/>
        <v>0</v>
      </c>
      <c r="AF18" s="865">
        <f t="shared" si="11"/>
        <v>0</v>
      </c>
      <c r="AG18" s="873">
        <f t="shared" si="11"/>
        <v>0</v>
      </c>
      <c r="AH18" s="870">
        <f t="shared" si="11"/>
        <v>0</v>
      </c>
      <c r="AI18" s="865">
        <f t="shared" si="11"/>
        <v>717</v>
      </c>
      <c r="AJ18" s="867">
        <f t="shared" si="11"/>
        <v>0</v>
      </c>
      <c r="AK18" s="870">
        <f t="shared" si="11"/>
        <v>0</v>
      </c>
      <c r="AL18" s="874">
        <f>IF(ISNUMBER(NºAsuntos!G18/NºAsuntos!E18),NºAsuntos!G18/NºAsuntos!E18," - ")</f>
        <v>1.0645607562831449</v>
      </c>
      <c r="AM18" s="874">
        <f>IF(ISNUMBER(((NºAsuntos!I18/NºAsuntos!G18)*11)/factor_trimestre),((NºAsuntos!I18/NºAsuntos!G18)*11)/factor_trimestre," - ")</f>
        <v>2.9792072774528919</v>
      </c>
      <c r="AN18" s="875">
        <f>IF(ISNUMBER('Resol  Asuntos'!D18/NºAsuntos!G18),'Resol  Asuntos'!D18/NºAsuntos!G18," - ")</f>
        <v>0.15529564652371669</v>
      </c>
      <c r="AO18" s="876">
        <f>IF(ISNUMBER((NºAsuntos!C18+NºAsuntos!E18)/NºAsuntos!G18),(NºAsuntos!C18+NºAsuntos!E18)/NºAsuntos!G18," - ")</f>
        <v>1.9913363656053715</v>
      </c>
      <c r="AP18" s="877" t="str">
        <f t="shared" si="2"/>
        <v xml:space="preserve"> - </v>
      </c>
      <c r="AQ18" s="877">
        <f>IF(ISNUMBER((H18-W18+K18)/(F18)),(H18-W18+K18)/(F18)," - ")</f>
        <v>-1.0036956521739131</v>
      </c>
      <c r="AR18" s="878">
        <f>IF(ISNUMBER((Datos!P18-Datos!Q18)/(Datos!R18-Datos!P18+Datos!Q18)),(Datos!P18-Datos!Q18)/(Datos!R18-Datos!P18+Datos!Q18)," - ")</f>
        <v>0.27876106194690264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4677</v>
      </c>
      <c r="G19" s="821">
        <f t="shared" si="13"/>
        <v>4934</v>
      </c>
      <c r="H19" s="820">
        <f t="shared" si="13"/>
        <v>0</v>
      </c>
      <c r="I19" s="822">
        <f t="shared" si="13"/>
        <v>0</v>
      </c>
      <c r="J19" s="822">
        <f t="shared" si="13"/>
        <v>0</v>
      </c>
      <c r="K19" s="881">
        <f t="shared" si="13"/>
        <v>0</v>
      </c>
      <c r="L19" s="822">
        <f t="shared" si="13"/>
        <v>750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4639</v>
      </c>
      <c r="X19" s="821">
        <f t="shared" si="14"/>
        <v>756</v>
      </c>
      <c r="Y19" s="828">
        <f t="shared" si="14"/>
        <v>5193</v>
      </c>
      <c r="Z19" s="828">
        <f t="shared" si="14"/>
        <v>0</v>
      </c>
      <c r="AA19" s="828">
        <f t="shared" si="14"/>
        <v>4661</v>
      </c>
      <c r="AB19" s="828">
        <f t="shared" si="14"/>
        <v>5104</v>
      </c>
      <c r="AC19" s="828">
        <f t="shared" si="14"/>
        <v>5599</v>
      </c>
      <c r="AD19" s="828">
        <f t="shared" si="14"/>
        <v>0</v>
      </c>
      <c r="AE19" s="830">
        <f t="shared" si="14"/>
        <v>0</v>
      </c>
      <c r="AF19" s="831">
        <f t="shared" si="14"/>
        <v>0</v>
      </c>
      <c r="AG19" s="832">
        <f t="shared" si="14"/>
        <v>0</v>
      </c>
      <c r="AH19" s="830">
        <f t="shared" si="14"/>
        <v>0</v>
      </c>
      <c r="AI19" s="820">
        <f t="shared" si="14"/>
        <v>2119</v>
      </c>
      <c r="AJ19" s="820">
        <f t="shared" si="14"/>
        <v>0</v>
      </c>
      <c r="AK19" s="830">
        <f t="shared" si="14"/>
        <v>0</v>
      </c>
      <c r="AL19" s="884">
        <f>IF(ISNUMBER(NºAsuntos!G19/NºAsuntos!E19),NºAsuntos!G19/NºAsuntos!E19," - ")</f>
        <v>0.78852910454847591</v>
      </c>
      <c r="AM19" s="885">
        <f>IF(ISNUMBER(((NºAsuntos!I19/NºAsuntos!G19)*11)/factor_trimestre),((NºAsuntos!I19/NºAsuntos!G19)*11)/factor_trimestre," - ")</f>
        <v>5.726156069364162</v>
      </c>
      <c r="AN19" s="885">
        <f>IF(ISNUMBER('Resol  Asuntos'!D19/NºAsuntos!G19),'Resol  Asuntos'!D19/NºAsuntos!G19," - ")</f>
        <v>0.25517822736030826</v>
      </c>
      <c r="AO19" s="886">
        <f>IF(ISNUMBER((NºAsuntos!C19+NºAsuntos!E19)/NºAsuntos!G19),(NºAsuntos!C19+NºAsuntos!E19)/NºAsuntos!G19," - ")</f>
        <v>2.9077552986512525</v>
      </c>
      <c r="AP19" s="887" t="str">
        <f t="shared" si="2"/>
        <v xml:space="preserve"> - </v>
      </c>
      <c r="AQ19" s="888">
        <f>IF(OR(ISNUMBER(FIND("01",Criterios!A8,1)),ISNUMBER(FIND("02",Criterios!A8,1)),ISNUMBER(FIND("03",Criterios!A8,1)),ISNUMBER(FIND("04",Criterios!A8,1))),(I19-W19+K19)/(F19-K19),(H19-W19+K19)/(F19-K19))</f>
        <v>-0.99187513363267055</v>
      </c>
      <c r="AR19" s="889">
        <f>IF(ISNUMBER((Datos!P19-Datos!Q19)/(Datos!R19-Datos!P19+Datos!Q19)),(Datos!P19-Datos!Q19)/(Datos!R19-Datos!P19+Datos!Q19)," - ")</f>
        <v>-1.1741682974559687E-3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1973.6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2611.3552675446772</v>
      </c>
      <c r="G21" s="253">
        <f>IF(ISNUMBER(STDEV(G8:G18)),STDEV(G8:G18),"-")</f>
        <v>2514.1355969796059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2376.7932808723604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554.73442809535959</v>
      </c>
      <c r="AJ21" s="252">
        <f t="shared" si="18"/>
        <v>0</v>
      </c>
      <c r="AK21" s="254">
        <f t="shared" si="18"/>
        <v>0</v>
      </c>
      <c r="AL21" s="249">
        <f t="shared" si="18"/>
        <v>0.2316467706816113</v>
      </c>
      <c r="AM21" s="250">
        <f t="shared" si="18"/>
        <v>4.0809141752858533</v>
      </c>
      <c r="AN21" s="250">
        <f t="shared" si="18"/>
        <v>0.29068548954817441</v>
      </c>
      <c r="AO21" s="251">
        <f t="shared" si="18"/>
        <v>1.3607348274750959</v>
      </c>
      <c r="AP21" s="291" t="str">
        <f t="shared" si="18"/>
        <v>-</v>
      </c>
      <c r="AQ21" s="292">
        <f t="shared" si="18"/>
        <v>0.50768949298918642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83JpvyW4uquqP6L0c+l8vrI999Uvi4dZpAubRrOd4+NEGkA/uDnAZredQOiOv9c4iPKChTVnKvams6cfi1MVrg==" saltValue="Hi+5JiS3JT8doIVXDp9W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DONOSTIA-SAN SEBASTIAN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5.5069930069930072E-2</v>
      </c>
      <c r="I9" s="350">
        <f>IF(ISNUMBER((Tasas!C9-Datos!BE9)/Datos!BE9),(Tasas!C9-Datos!BE9)/Datos!BE9," - ")</f>
        <v>0.47464462337574254</v>
      </c>
      <c r="J9" s="349">
        <f>IF(ISNUMBER((Tasas!D9-Datos!BF9)/Datos!BF9),(Tasas!D9-Datos!BF9)/Datos!BF9," - ")</f>
        <v>0.62773044315230153</v>
      </c>
      <c r="K9" s="351">
        <f>IF(ISNUMBER((Tasas!E9-Datos!BG9)/Datos!BG9),(Tasas!E9-Datos!BG9)/Datos!BG9," - ")</f>
        <v>0.34016636276945195</v>
      </c>
      <c r="M9" t="e">
        <f>IF(Monitorios="SI",Datos!CE9,0)</f>
        <v>#REF!</v>
      </c>
      <c r="N9" t="e">
        <f>IF(Monitorios="SI",Datos!CF9,0)</f>
        <v>#REF!</v>
      </c>
      <c r="O9" t="e">
        <f>IF(Monitorios="SI",Datos!CG9,0)</f>
        <v>#REF!</v>
      </c>
      <c r="P9" t="e">
        <f>IF(Monitorios="SI",Datos!CH9,0)</f>
        <v>#REF!</v>
      </c>
      <c r="Q9">
        <f>IF(J_V="SI",0,Datos!AG9)</f>
        <v>88</v>
      </c>
      <c r="R9">
        <f>IF(J_V="SI",0,Datos!AH9)</f>
        <v>45</v>
      </c>
      <c r="S9">
        <f>IF(J_V="SI",0,Datos!AI9)</f>
        <v>60</v>
      </c>
      <c r="T9">
        <f>IF(J_V="SI",0,Datos!AJ9)</f>
        <v>73</v>
      </c>
    </row>
    <row r="10" spans="2:20" ht="14.25">
      <c r="B10" s="275" t="s">
        <v>246</v>
      </c>
      <c r="C10" s="7" t="str">
        <f>Datos!A10</f>
        <v>Jdos. Violencia contra la mujer</v>
      </c>
      <c r="D10" s="352">
        <f>IF(ISNUMBER((Datos!I10-Datos!S10)/Datos!S10),(Datos!I10-Datos!S10)/Datos!S10," - ")</f>
        <v>0.42592592592592593</v>
      </c>
      <c r="E10" s="348">
        <f>IF(ISNUMBER((Datos!J10-Datos!T10)/Datos!T10),(Datos!J10-Datos!T10)/Datos!T10," - ")</f>
        <v>-0.55319148936170215</v>
      </c>
      <c r="F10" s="348">
        <f>IF(ISNUMBER((Datos!K10-Datos!U10)/Datos!U10),(Datos!K10-Datos!U10)/Datos!U10," - ")</f>
        <v>-0.45</v>
      </c>
      <c r="G10" s="349">
        <f>IF(ISNUMBER((Datos!L10-Datos!V10)/Datos!V10),(Datos!L10-Datos!V10)/Datos!V10," - ")</f>
        <v>0.24590163934426229</v>
      </c>
      <c r="H10" s="230">
        <f>IF(ISNUMBER((Datos!M10-Datos!W10)/Datos!W10),(Datos!M10-Datos!W10)/Datos!W10," - ")</f>
        <v>-8.6956521739130432E-2</v>
      </c>
      <c r="I10" s="350">
        <f>IF(ISNUMBER((Tasas!C10-Datos!BE10)/Datos!BE10),(Tasas!C10-Datos!BE10)/Datos!BE10," - ")</f>
        <v>1.265275707898659</v>
      </c>
      <c r="J10" s="349">
        <f>IF(ISNUMBER((Tasas!D10-Datos!BF10)/Datos!BF10),(Tasas!D10-Datos!BF10)/Datos!BF10," - ")</f>
        <v>0.6600790513833994</v>
      </c>
      <c r="K10" s="351">
        <f>IF(ISNUMBER((Tasas!E10-Datos!BG10)/Datos!BG10),(Tasas!E10-Datos!BG10)/Datos!BG10," - ")</f>
        <v>0.76417641764176403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0.27007299270072993</v>
      </c>
      <c r="I11" s="350">
        <f>IF(ISNUMBER((Tasas!C11-Datos!BE11)/Datos!BE11),(Tasas!C11-Datos!BE11)/Datos!BE11," - ")</f>
        <v>-0.14721611015334357</v>
      </c>
      <c r="J11" s="349">
        <f>IF(ISNUMBER((Tasas!D11-Datos!BF11)/Datos!BF11),(Tasas!D11-Datos!BF11)/Datos!BF11," - ")</f>
        <v>-0.71622559452206902</v>
      </c>
      <c r="K11" s="351">
        <f>IF(ISNUMBER((Tasas!E11-Datos!BG11)/Datos!BG11),(Tasas!E11-Datos!BG11)/Datos!BG11," - ")</f>
        <v>-7.2082729039158258E-2</v>
      </c>
      <c r="M11" t="e">
        <f>IF(Monitorios="SI",Datos!CE11,0)</f>
        <v>#REF!</v>
      </c>
      <c r="N11" t="e">
        <f>IF(Monitorios="SI",Datos!CF11,0)</f>
        <v>#REF!</v>
      </c>
      <c r="O11" t="e">
        <f>IF(Monitorios="SI",Datos!CG11,0)</f>
        <v>#REF!</v>
      </c>
      <c r="P11" t="e">
        <f>IF(Monitorios="SI",Datos!CH11,0)</f>
        <v>#REF!</v>
      </c>
      <c r="Q11">
        <f>IF(J_V="SI",0,Datos!AG11)</f>
        <v>41</v>
      </c>
      <c r="R11">
        <f>IF(J_V="SI",0,Datos!AH11)</f>
        <v>167</v>
      </c>
      <c r="S11">
        <f>IF(J_V="SI",0,Datos!AI11)</f>
        <v>179</v>
      </c>
      <c r="T11">
        <f>IF(J_V="SI",0,Datos!AJ11)</f>
        <v>29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7.5153374233128831E-2</v>
      </c>
      <c r="I13" s="357">
        <f>IF(ISNUMBER((Tasas!C13-Datos!BE13)/Datos!BE13),(Tasas!C13-Datos!BE13)/Datos!BE13," - ")</f>
        <v>0.43064049954646755</v>
      </c>
      <c r="J13" s="355">
        <f>IF(ISNUMBER((Tasas!D13-Datos!BF13)/Datos!BF13),(Tasas!D13-Datos!BF13)/Datos!BF13," - ")</f>
        <v>4.0013744194906994E-3</v>
      </c>
      <c r="K13" s="358">
        <f>IF(ISNUMBER((Tasas!E13-Datos!BG13)/Datos!BG13),(Tasas!E13-Datos!BG13)/Datos!BG13," - ")</f>
        <v>0.29342284327606993</v>
      </c>
      <c r="M13" t="e">
        <f>IF(Monitorios="SI",Datos!CE13,0)</f>
        <v>#REF!</v>
      </c>
      <c r="N13" t="e">
        <f>IF(Monitorios="SI",Datos!CF13,0)</f>
        <v>#REF!</v>
      </c>
      <c r="O13" t="e">
        <f>IF(Monitorios="SI",Datos!CG13,0)</f>
        <v>#REF!</v>
      </c>
      <c r="P13" t="e">
        <f>IF(Monitorios="SI",Datos!CH13,0)</f>
        <v>#REF!</v>
      </c>
      <c r="Q13">
        <f>IF(J_V="SI",0,Datos!AG13)</f>
        <v>129</v>
      </c>
      <c r="R13">
        <f>IF(J_V="SI",0,Datos!AH13)</f>
        <v>212</v>
      </c>
      <c r="S13">
        <f>IF(J_V="SI",0,Datos!AI13)</f>
        <v>239</v>
      </c>
      <c r="T13">
        <f>IF(J_V="SI",0,Datos!AJ13)</f>
        <v>102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5.2245646196150318E-2</v>
      </c>
      <c r="E15" s="348">
        <f>IF(ISNUMBER(
   IF(D_I="SI",(Datos!J15-Datos!T15)/Datos!T15,(Datos!J15+Datos!AD15-(Datos!T15+Datos!AL15))/(Datos!T15+Datos!AL15))
     ),IF(D_I="SI",(Datos!J15-Datos!T15)/Datos!T15,(Datos!J15+Datos!AD15-(Datos!T15+Datos!AL15))/(Datos!T15+Datos!AL15))," - ")</f>
        <v>-2.9754525167369206E-3</v>
      </c>
      <c r="F15" s="348">
        <f>IF(ISNUMBER(
   IF(D_I="SI",(Datos!K15-Datos!U15)/Datos!U15,(Datos!K15+Datos!AE15-(Datos!U15+Datos!AM15))/(Datos!U15+Datos!AM15))
     ),IF(D_I="SI",(Datos!K15-Datos!U15)/Datos!U15,(Datos!K15+Datos!AE15-(Datos!U15+Datos!AM15))/(Datos!U15+Datos!AM15))," - ")</f>
        <v>5.6678166584524396E-2</v>
      </c>
      <c r="G15" s="349">
        <f>IF(ISNUMBER(
   IF(D_I="SI",(Datos!L15-Datos!V15)/Datos!V15,(Datos!L15+Datos!AF15-(Datos!V15+Datos!AN15))/(Datos!V15+Datos!AN15))
     ),IF(D_I="SI",(Datos!L15-Datos!V15)/Datos!V15,(Datos!L15+Datos!AF15-(Datos!V15+Datos!AN15))/(Datos!V15+Datos!AN15))," - ")</f>
        <v>-4.594532506317482E-3</v>
      </c>
      <c r="H15" s="230">
        <f>IF(ISNUMBER((Datos!M15-Datos!W15)/Datos!W15),(Datos!M15-Datos!W15)/Datos!W15," - ")</f>
        <v>0.24299065420560748</v>
      </c>
      <c r="I15" s="350">
        <f>IF(ISNUMBER((Tasas!C15-Datos!BE15)/Datos!BE15),(Tasas!C15-Datos!BE15)/Datos!BE15," - ")</f>
        <v>-5.7986150398935753E-2</v>
      </c>
      <c r="J15" s="349">
        <f>IF(ISNUMBER((Tasas!D15-Datos!BF15)/Datos!BF15),(Tasas!D15-Datos!BF15)/Datos!BF15," - ")</f>
        <v>0.17631904728692996</v>
      </c>
      <c r="K15" s="351">
        <f>IF(ISNUMBER((Tasas!E15-Datos!BG15)/Datos!BG15),(Tasas!E15-Datos!BG15)/Datos!BG15," - ")</f>
        <v>-2.9294344195421713E-2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0.16228070175438597</v>
      </c>
      <c r="E17" s="348">
        <f>IF(ISNUMBER(
   IF(D_I="SI",(Datos!J17-Datos!T17)/Datos!T17,(Datos!J17+Datos!AD17-(Datos!T17+Datos!AL17))/(Datos!T17+Datos!AL17))
     ),IF(D_I="SI",(Datos!J17-Datos!T17)/Datos!T17,(Datos!J17+Datos!AD17-(Datos!T17+Datos!AL17))/(Datos!T17+Datos!AL17))," - ")</f>
        <v>4.2904290429042903E-2</v>
      </c>
      <c r="F17" s="348">
        <f>IF(ISNUMBER(
   IF(D_I="SI",(Datos!K17-Datos!U17)/Datos!U17,(Datos!K17+Datos!AE17-(Datos!U17+Datos!AM17))/(Datos!U17+Datos!AM17))
     ),IF(D_I="SI",(Datos!K17-Datos!U17)/Datos!U17,(Datos!K17+Datos!AE17-(Datos!U17+Datos!AM17))/(Datos!U17+Datos!AM17))," - ")</f>
        <v>0.1040268456375839</v>
      </c>
      <c r="G17" s="349">
        <f>IF(ISNUMBER(
   IF(D_I="SI",(Datos!L17-Datos!V17)/Datos!V17,(Datos!L17+Datos!AF17-(Datos!V17+Datos!AN17))/(Datos!V17+Datos!AN17))
     ),IF(D_I="SI",(Datos!L17-Datos!V17)/Datos!V17,(Datos!L17+Datos!AF17-(Datos!V17+Datos!AN17))/(Datos!V17+Datos!AN17))," - ")</f>
        <v>6.7796610169491525E-2</v>
      </c>
      <c r="H17" s="230">
        <f>IF(ISNUMBER((Datos!M17-Datos!W17)/Datos!W17),(Datos!M17-Datos!W17)/Datos!W17," - ")</f>
        <v>0.52941176470588236</v>
      </c>
      <c r="I17" s="350">
        <f>IF(ISNUMBER((Tasas!C17-Datos!BE17)/Datos!BE17),(Tasas!C17-Datos!BE17)/Datos!BE17," - ")</f>
        <v>-3.2816444284168737E-2</v>
      </c>
      <c r="J17" s="349">
        <f>IF(ISNUMBER((Tasas!D17-Datos!BF17)/Datos!BF17),(Tasas!D17-Datos!BF17)/Datos!BF17," - ")</f>
        <v>0.38530305739316995</v>
      </c>
      <c r="K17" s="351">
        <f>IF(ISNUMBER((Tasas!E17-Datos!BG17)/Datos!BG17),(Tasas!E17-Datos!BG17)/Datos!BG17," - ")</f>
        <v>-8.9353688343951822E-3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5.7709059233449475E-2</v>
      </c>
      <c r="E18" s="354">
        <f>IF(ISNUMBER(
   IF(D_I="SI",(Datos!J18-Datos!T18)/Datos!T18,(Datos!J18+Datos!AD18-(Datos!T18+Datos!AL18))/(Datos!T18+Datos!AL18))
     ),IF(D_I="SI",(Datos!J18-Datos!T18)/Datos!T18,(Datos!J18+Datos!AD18-(Datos!T18+Datos!AL18))/(Datos!T18+Datos!AL18))," - ")</f>
        <v>2.3062730627306272E-4</v>
      </c>
      <c r="F18" s="354">
        <f>IF(ISNUMBER(
   IF(D_I="SI",(Datos!K18-Datos!U18)/Datos!U18,(Datos!K18+Datos!AE18-(Datos!U18+Datos!AM18))/(Datos!U18+Datos!AM18))
     ),IF(D_I="SI",(Datos!K18-Datos!U18)/Datos!U18,(Datos!K18+Datos!AE18-(Datos!U18+Datos!AM18))/(Datos!U18+Datos!AM18))," - ")</f>
        <v>5.9917355371900828E-2</v>
      </c>
      <c r="G18" s="355">
        <f>IF(ISNUMBER(
   IF(D_I="SI",(Datos!L18-Datos!V18)/Datos!V18,(Datos!L18+Datos!AF18-(Datos!V18+Datos!AN18))/(Datos!V18+Datos!AN18))
     ),IF(D_I="SI",(Datos!L18-Datos!V18)/Datos!V18,(Datos!L18+Datos!AF18-(Datos!V18+Datos!AN18))/(Datos!V18+Datos!AN18))," - ")</f>
        <v>-8.7164959686206146E-4</v>
      </c>
      <c r="H18" s="356">
        <f>IF(ISNUMBER((Datos!M18-Datos!W18)/Datos!W18),(Datos!M18-Datos!W18)/Datos!W18," - ")</f>
        <v>0.2601054481546573</v>
      </c>
      <c r="I18" s="357">
        <f>IF(ISNUMBER((Tasas!C18-Datos!BE18)/Datos!BE18),(Tasas!C18-Datos!BE18)/Datos!BE18," - ")</f>
        <v>-5.7352589483199337E-2</v>
      </c>
      <c r="J18" s="355">
        <f>IF(ISNUMBER((Tasas!D18-Datos!BF18)/Datos!BF18),(Tasas!D18-Datos!BF18)/Datos!BF18," - ")</f>
        <v>0.18887141697242507</v>
      </c>
      <c r="K18" s="358">
        <f>IF(ISNUMBER((Tasas!E18-Datos!BG18)/Datos!BG18),(Tasas!E18-Datos!BG18)/Datos!BG18," - ")</f>
        <v>-2.8420563555443652E-2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0.10700056915196357</v>
      </c>
      <c r="E19" s="363">
        <f>IF(ISNUMBER(
   IF(J_V="SI",(Datos!J19-Datos!T19)/Datos!T19,(Datos!J19+Datos!Z19-(Datos!T19+Datos!AH19))/(Datos!T19+Datos!AH19))
     ),IF(J_V="SI",(Datos!J19-Datos!T19)/Datos!T19,(Datos!J19+Datos!Z19-(Datos!T19+Datos!AH19))/(Datos!T19+Datos!AH19))," - ")</f>
        <v>0.41850754310344829</v>
      </c>
      <c r="F19" s="363">
        <f>IF(ISNUMBER(
   IF(J_V="SI",(Datos!K19-Datos!U19)/Datos!U19,(Datos!K19+Datos!AA19-(Datos!U19+Datos!AI19))/(Datos!U19+Datos!AI19))
     ),IF(J_V="SI",(Datos!K19-Datos!U19)/Datos!U19,(Datos!K19+Datos!AA19-(Datos!U19+Datos!AI19))/(Datos!U19+Datos!AI19))," - ")</f>
        <v>6.4751891268111303E-2</v>
      </c>
      <c r="G19" s="364">
        <f>IF(ISNUMBER(
   IF(J_V="SI",(Datos!L19-Datos!V19)/Datos!V19,(Datos!L19+Datos!AB19-(Datos!V19+Datos!AJ19))/(Datos!V19+Datos!AJ19))
     ),IF(J_V="SI",(Datos!L19-Datos!V19)/Datos!V19,(Datos!L19+Datos!AB19-(Datos!V19+Datos!AJ19))/(Datos!V19+Datos!AJ19))," - ")</f>
        <v>0.32724836710768718</v>
      </c>
      <c r="H19" s="365">
        <f>IF(ISNUMBER((Datos!M19-Datos!W19)/Datos!W19),(Datos!M19-Datos!W19)/Datos!W19," - ")</f>
        <v>0.13134009610250935</v>
      </c>
      <c r="I19" s="362">
        <f>IF(ISNUMBER((Tasas!C19-Datos!BE19)/Datos!BE19),(Tasas!C19-Datos!BE19)/Datos!BE19," - ")</f>
        <v>0.24653299796156686</v>
      </c>
      <c r="J19" s="363">
        <f>IF(ISNUMBER((Tasas!D19-Datos!BF19)/Datos!BF19),(Tasas!D19-Datos!BF19)/Datos!BF19," - ")</f>
        <v>6.2538705383365742E-2</v>
      </c>
      <c r="K19" s="364">
        <f>IF(ISNUMBER((Tasas!E19-Datos!BG19)/Datos!BG19),(Tasas!E19-Datos!BG19)/Datos!BG19," - ")</f>
        <v>0.14980396360498502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0.17507193934624338</v>
      </c>
      <c r="E21" s="278">
        <f t="shared" si="1"/>
        <v>0.2840598787210038</v>
      </c>
      <c r="F21" s="278">
        <f t="shared" si="1"/>
        <v>0.26265983330371562</v>
      </c>
      <c r="G21" s="279">
        <f t="shared" si="1"/>
        <v>0.11737988788486689</v>
      </c>
      <c r="H21" s="285">
        <f t="shared" si="1"/>
        <v>0.19891359991113</v>
      </c>
      <c r="I21" s="277">
        <f t="shared" si="1"/>
        <v>0.5064136822153924</v>
      </c>
      <c r="J21" s="278">
        <f t="shared" si="1"/>
        <v>0.46668192275214943</v>
      </c>
      <c r="K21" s="279">
        <f t="shared" si="1"/>
        <v>0.30720934449765686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RB2RSJXkAYw6H0lg553LoASOk96YKza1uIqqOaEvcmx+h7oAAqP5Ckd1M7BYXEuWSYXd2kOwTAX8hHRXiVWLw==" saltValue="bMoRw/cIXl7b1KxFujfi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